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Characteristics!$A$1:$O$1907</definedName>
    <definedName name="_xlnm._FilterDatabase" localSheetId="1" hidden="1">Performance!$A$1:$I$1907</definedName>
  </definedNames>
  <calcPr calcId="124519" fullCalcOnLoad="1"/>
</workbook>
</file>

<file path=xl/sharedStrings.xml><?xml version="1.0" encoding="utf-8"?>
<sst xmlns="http://schemas.openxmlformats.org/spreadsheetml/2006/main" count="9734" uniqueCount="1942">
  <si>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</si>
  <si>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</si>
  <si>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</si>
  <si>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</si>
  <si>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</si>
  <si>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</si>
  <si>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</si>
  <si>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</si>
  <si>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</si>
  <si>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</si>
  <si>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</si>
  <si>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</si>
  <si>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</si>
  <si>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</si>
  <si>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AMKR</t>
  </si>
  <si>
    <t>AMLX</t>
  </si>
  <si>
    <t>AMN</t>
  </si>
  <si>
    <t>AMNB</t>
  </si>
  <si>
    <t>AMOT</t>
  </si>
  <si>
    <t>AMPE</t>
  </si>
  <si>
    <t>AMPH</t>
  </si>
  <si>
    <t>AMRC</t>
  </si>
  <si>
    <t>AMRK</t>
  </si>
  <si>
    <t>AMRS</t>
  </si>
  <si>
    <t>AMRX</t>
  </si>
  <si>
    <t>AMSC</t>
  </si>
  <si>
    <t>AMSF</t>
  </si>
  <si>
    <t>AMSWA</t>
  </si>
  <si>
    <t>AMTB</t>
  </si>
  <si>
    <t>AMTI</t>
  </si>
  <si>
    <t>AMTX</t>
  </si>
  <si>
    <t>AMWD</t>
  </si>
  <si>
    <t>AMWL</t>
  </si>
  <si>
    <t>ANAB</t>
  </si>
  <si>
    <t>ANAT</t>
  </si>
  <si>
    <t>ANDE</t>
  </si>
  <si>
    <t>ANF</t>
  </si>
  <si>
    <t>ANGN</t>
  </si>
  <si>
    <t>ANGO</t>
  </si>
  <si>
    <t>ANIK</t>
  </si>
  <si>
    <t>ANIP</t>
  </si>
  <si>
    <t>ANNX</t>
  </si>
  <si>
    <t>AOMR</t>
  </si>
  <si>
    <t>AORT</t>
  </si>
  <si>
    <t>AOSL</t>
  </si>
  <si>
    <t>AOUT</t>
  </si>
  <si>
    <t>APAM</t>
  </si>
  <si>
    <t>APEI</t>
  </si>
  <si>
    <t>APG</t>
  </si>
  <si>
    <t>APLE</t>
  </si>
  <si>
    <t>APLS</t>
  </si>
  <si>
    <t>APLT</t>
  </si>
  <si>
    <t>APOG</t>
  </si>
  <si>
    <t>APPF</t>
  </si>
  <si>
    <t>APPH</t>
  </si>
  <si>
    <t>APPN</t>
  </si>
  <si>
    <t>APPS</t>
  </si>
  <si>
    <t>APTS</t>
  </si>
  <si>
    <t>APYX</t>
  </si>
  <si>
    <t>AQB</t>
  </si>
  <si>
    <t>AQUA</t>
  </si>
  <si>
    <t>AR</t>
  </si>
  <si>
    <t>ARAY</t>
  </si>
  <si>
    <t>ARCB</t>
  </si>
  <si>
    <t>ARCH</t>
  </si>
  <si>
    <t>ARCT</t>
  </si>
  <si>
    <t>ARDX</t>
  </si>
  <si>
    <t>ARGO</t>
  </si>
  <si>
    <t>ARI</t>
  </si>
  <si>
    <t>ARIS</t>
  </si>
  <si>
    <t>ARKO</t>
  </si>
  <si>
    <t>ARLO</t>
  </si>
  <si>
    <t>ARNC</t>
  </si>
  <si>
    <t>AROC</t>
  </si>
  <si>
    <t>AROW</t>
  </si>
  <si>
    <t>ARQT</t>
  </si>
  <si>
    <t>ARR</t>
  </si>
  <si>
    <t>ARRY</t>
  </si>
  <si>
    <t>ARTNA</t>
  </si>
  <si>
    <t>ARVN</t>
  </si>
  <si>
    <t>ARWR</t>
  </si>
  <si>
    <t>ASAN</t>
  </si>
  <si>
    <t>ASB</t>
  </si>
  <si>
    <t>ASGN</t>
  </si>
  <si>
    <t>ASIX</t>
  </si>
  <si>
    <t>ASLE</t>
  </si>
  <si>
    <t>ASO</t>
  </si>
  <si>
    <t>ASPN</t>
  </si>
  <si>
    <t>ASTE</t>
  </si>
  <si>
    <t>ASXC</t>
  </si>
  <si>
    <t>ATCX</t>
  </si>
  <si>
    <t>ATEC</t>
  </si>
  <si>
    <t>ATEN</t>
  </si>
  <si>
    <t>ATER</t>
  </si>
  <si>
    <t>ATEX</t>
  </si>
  <si>
    <t>ATGE</t>
  </si>
  <si>
    <t>ATHA</t>
  </si>
  <si>
    <t>ATHX</t>
  </si>
  <si>
    <t>ATI</t>
  </si>
  <si>
    <t>ATKR</t>
  </si>
  <si>
    <t>ATLC</t>
  </si>
  <si>
    <t>ATNI</t>
  </si>
  <si>
    <t>ATNX</t>
  </si>
  <si>
    <t>ATOM</t>
  </si>
  <si>
    <t>ATOS</t>
  </si>
  <si>
    <t>ATRA</t>
  </si>
  <si>
    <t>ATRC</t>
  </si>
  <si>
    <t>ATRI</t>
  </si>
  <si>
    <t>ATRO</t>
  </si>
  <si>
    <t>ATRS</t>
  </si>
  <si>
    <t>ATSG</t>
  </si>
  <si>
    <t>AUB</t>
  </si>
  <si>
    <t>AUD</t>
  </si>
  <si>
    <t>AURA</t>
  </si>
  <si>
    <t>AVA</t>
  </si>
  <si>
    <t>AVAH</t>
  </si>
  <si>
    <t>AVAV</t>
  </si>
  <si>
    <t>AVD</t>
  </si>
  <si>
    <t>AVDX</t>
  </si>
  <si>
    <t>AVID</t>
  </si>
  <si>
    <t>AVIR</t>
  </si>
  <si>
    <t>AVNS</t>
  </si>
  <si>
    <t>AVNT</t>
  </si>
  <si>
    <t>AVNW</t>
  </si>
  <si>
    <t>AVO</t>
  </si>
  <si>
    <t>AVRO</t>
  </si>
  <si>
    <t>AVTE</t>
  </si>
  <si>
    <t>AVTX</t>
  </si>
  <si>
    <t>AVXL</t>
  </si>
  <si>
    <t>AVYA</t>
  </si>
  <si>
    <t>AWH</t>
  </si>
  <si>
    <t>AWR</t>
  </si>
  <si>
    <t>AX</t>
  </si>
  <si>
    <t>AXDX</t>
  </si>
  <si>
    <t>AXGN</t>
  </si>
  <si>
    <t>AXL</t>
  </si>
  <si>
    <t>AXNX</t>
  </si>
  <si>
    <t>AXSM</t>
  </si>
  <si>
    <t>AXTI</t>
  </si>
  <si>
    <t>AZZ</t>
  </si>
  <si>
    <t>B</t>
  </si>
  <si>
    <t>BALY</t>
  </si>
  <si>
    <t>BANC</t>
  </si>
  <si>
    <t>BAND</t>
  </si>
  <si>
    <t>BANF</t>
  </si>
  <si>
    <t>BANR</t>
  </si>
  <si>
    <t>BASE</t>
  </si>
  <si>
    <t>BATRA</t>
  </si>
  <si>
    <t>BATRK</t>
  </si>
  <si>
    <t>BBBY</t>
  </si>
  <si>
    <t>BBCP</t>
  </si>
  <si>
    <t>BBIO</t>
  </si>
  <si>
    <t>BBSI</t>
  </si>
  <si>
    <t>BCAB</t>
  </si>
  <si>
    <t>BCC</t>
  </si>
  <si>
    <t>BCEL</t>
  </si>
  <si>
    <t>BCO</t>
  </si>
  <si>
    <t>BCOR</t>
  </si>
  <si>
    <t>BCOV</t>
  </si>
  <si>
    <t>BCPC</t>
  </si>
  <si>
    <t>BCRX</t>
  </si>
  <si>
    <t>BDC</t>
  </si>
  <si>
    <t>BDN</t>
  </si>
  <si>
    <t>BDSX</t>
  </si>
  <si>
    <t>BDTX</t>
  </si>
  <si>
    <t>BE</t>
  </si>
  <si>
    <t>BEAM</t>
  </si>
  <si>
    <t>BECN</t>
  </si>
  <si>
    <t>BEEM</t>
  </si>
  <si>
    <t>BFC</t>
  </si>
  <si>
    <t>BFLY</t>
  </si>
  <si>
    <t>BFS</t>
  </si>
  <si>
    <t>BFST</t>
  </si>
  <si>
    <t>BGCP</t>
  </si>
  <si>
    <t>BGFV</t>
  </si>
  <si>
    <t>BGS</t>
  </si>
  <si>
    <t>BH</t>
  </si>
  <si>
    <t>BHB</t>
  </si>
  <si>
    <t>BHE</t>
  </si>
  <si>
    <t>BHG</t>
  </si>
  <si>
    <t>BHLB</t>
  </si>
  <si>
    <t>BHR</t>
  </si>
  <si>
    <t>BHVN</t>
  </si>
  <si>
    <t>BIG</t>
  </si>
  <si>
    <t>BIGC</t>
  </si>
  <si>
    <t>BIPC</t>
  </si>
  <si>
    <t>BJ</t>
  </si>
  <si>
    <t>BJRI</t>
  </si>
  <si>
    <t>BKD</t>
  </si>
  <si>
    <t>BKE</t>
  </si>
  <si>
    <t>BKH</t>
  </si>
  <si>
    <t>BKU</t>
  </si>
  <si>
    <t>BL</t>
  </si>
  <si>
    <t>BLBD</t>
  </si>
  <si>
    <t>BLFS</t>
  </si>
  <si>
    <t>BLFY</t>
  </si>
  <si>
    <t>BLI</t>
  </si>
  <si>
    <t>BLKB</t>
  </si>
  <si>
    <t>BLMN</t>
  </si>
  <si>
    <t>BLNK</t>
  </si>
  <si>
    <t>BLUE</t>
  </si>
  <si>
    <t>BLX</t>
  </si>
  <si>
    <t>BMEA</t>
  </si>
  <si>
    <t>BMI</t>
  </si>
  <si>
    <t>BMRC</t>
  </si>
  <si>
    <t>BNED</t>
  </si>
  <si>
    <t>BNFT</t>
  </si>
  <si>
    <t>BNGO</t>
  </si>
  <si>
    <t>BNL</t>
  </si>
  <si>
    <t>BOC</t>
  </si>
  <si>
    <t>BOLT</t>
  </si>
  <si>
    <t>BOOM</t>
  </si>
  <si>
    <t>BOOT</t>
  </si>
  <si>
    <t>BOX</t>
  </si>
  <si>
    <t>BPMC</t>
  </si>
  <si>
    <t>BRBR</t>
  </si>
  <si>
    <t>BRBS</t>
  </si>
  <si>
    <t>BRC</t>
  </si>
  <si>
    <t>BRKL</t>
  </si>
  <si>
    <t>BRMK</t>
  </si>
  <si>
    <t>BRP</t>
  </si>
  <si>
    <t>BRSP</t>
  </si>
  <si>
    <t>BRT</t>
  </si>
  <si>
    <t>BRY</t>
  </si>
  <si>
    <t>BSET</t>
  </si>
  <si>
    <t>BSIG</t>
  </si>
  <si>
    <t>BSRR</t>
  </si>
  <si>
    <t>BTAI</t>
  </si>
  <si>
    <t>BTRS</t>
  </si>
  <si>
    <t>BTU</t>
  </si>
  <si>
    <t>BTX</t>
  </si>
  <si>
    <t>BUSE</t>
  </si>
  <si>
    <t>BV</t>
  </si>
  <si>
    <t>BVH</t>
  </si>
  <si>
    <t>BVS</t>
  </si>
  <si>
    <t>BW</t>
  </si>
  <si>
    <t>BWB</t>
  </si>
  <si>
    <t>BXC</t>
  </si>
  <si>
    <t>BXMT</t>
  </si>
  <si>
    <t>BY</t>
  </si>
  <si>
    <t>BYRN</t>
  </si>
  <si>
    <t>BYSI</t>
  </si>
  <si>
    <t>BZH</t>
  </si>
  <si>
    <t>CAC</t>
  </si>
  <si>
    <t>CADE</t>
  </si>
  <si>
    <t>CAKE</t>
  </si>
  <si>
    <t>CAL</t>
  </si>
  <si>
    <t>CALM</t>
  </si>
  <si>
    <t>CALX</t>
  </si>
  <si>
    <t>CAMP</t>
  </si>
  <si>
    <t>CAR</t>
  </si>
  <si>
    <t>CARA</t>
  </si>
  <si>
    <t>CARE</t>
  </si>
  <si>
    <t>CARG</t>
  </si>
  <si>
    <t>CARS</t>
  </si>
  <si>
    <t>CASA</t>
  </si>
  <si>
    <t>CASH</t>
  </si>
  <si>
    <t>CASS</t>
  </si>
  <si>
    <t>CATC</t>
  </si>
  <si>
    <t>CATO</t>
  </si>
  <si>
    <t>CATY</t>
  </si>
  <si>
    <t>CBAY</t>
  </si>
  <si>
    <t>CBNK</t>
  </si>
  <si>
    <t>CBRL</t>
  </si>
  <si>
    <t>CBT</t>
  </si>
  <si>
    <t>CBTX</t>
  </si>
  <si>
    <t>CBU</t>
  </si>
  <si>
    <t>CBZ</t>
  </si>
  <si>
    <t>CCB</t>
  </si>
  <si>
    <t>CCBG</t>
  </si>
  <si>
    <t>CCCC</t>
  </si>
  <si>
    <t>CCF</t>
  </si>
  <si>
    <t>CCMP</t>
  </si>
  <si>
    <t>CCNE</t>
  </si>
  <si>
    <t>CCO</t>
  </si>
  <si>
    <t>CCOI</t>
  </si>
  <si>
    <t>CCRD</t>
  </si>
  <si>
    <t>CCRN</t>
  </si>
  <si>
    <t>CCS</t>
  </si>
  <si>
    <t>CCSI</t>
  </si>
  <si>
    <t>CCXI</t>
  </si>
  <si>
    <t>CDAK</t>
  </si>
  <si>
    <t>CDE</t>
  </si>
  <si>
    <t>CDEV</t>
  </si>
  <si>
    <t>CDLX</t>
  </si>
  <si>
    <t>CDMO</t>
  </si>
  <si>
    <t>CDNA</t>
  </si>
  <si>
    <t>CDRE</t>
  </si>
  <si>
    <t>CDXC</t>
  </si>
  <si>
    <t>CDXS</t>
  </si>
  <si>
    <t>CDZI</t>
  </si>
  <si>
    <t>CECE</t>
  </si>
  <si>
    <t>CEIX</t>
  </si>
  <si>
    <t>CELC</t>
  </si>
  <si>
    <t>CELH</t>
  </si>
  <si>
    <t>CENT</t>
  </si>
  <si>
    <t>CENTA</t>
  </si>
  <si>
    <t>CENX</t>
  </si>
  <si>
    <t>CERE</t>
  </si>
  <si>
    <t>CERS</t>
  </si>
  <si>
    <t>CEVA</t>
  </si>
  <si>
    <t>CFB</t>
  </si>
  <si>
    <t>CFFN</t>
  </si>
  <si>
    <t>CGEM</t>
  </si>
  <si>
    <t>CHCO</t>
  </si>
  <si>
    <t>CHCT</t>
  </si>
  <si>
    <t>CHEF</t>
  </si>
  <si>
    <t>CHK</t>
  </si>
  <si>
    <t>CHRS</t>
  </si>
  <si>
    <t>CHS</t>
  </si>
  <si>
    <t>CHUY</t>
  </si>
  <si>
    <t>CHX</t>
  </si>
  <si>
    <t>CIA</t>
  </si>
  <si>
    <t>CIM</t>
  </si>
  <si>
    <t>CINC</t>
  </si>
  <si>
    <t>CIO</t>
  </si>
  <si>
    <t>CIR</t>
  </si>
  <si>
    <t>CIVB</t>
  </si>
  <si>
    <t>CIVI</t>
  </si>
  <si>
    <t>CIX</t>
  </si>
  <si>
    <t>CLAR</t>
  </si>
  <si>
    <t>CLBK</t>
  </si>
  <si>
    <t>CLDT</t>
  </si>
  <si>
    <t>CLDX</t>
  </si>
  <si>
    <t>CLFD</t>
  </si>
  <si>
    <t>CLNE</t>
  </si>
  <si>
    <t>CLNN</t>
  </si>
  <si>
    <t>CLPR</t>
  </si>
  <si>
    <t>CLPT</t>
  </si>
  <si>
    <t>CLSK</t>
  </si>
  <si>
    <t>CLVS</t>
  </si>
  <si>
    <t>CLW</t>
  </si>
  <si>
    <t>CMBM</t>
  </si>
  <si>
    <t>CMC</t>
  </si>
  <si>
    <t>CMCO</t>
  </si>
  <si>
    <t>CMP</t>
  </si>
  <si>
    <t>CMPR</t>
  </si>
  <si>
    <t>CMRE</t>
  </si>
  <si>
    <t>CMRX</t>
  </si>
  <si>
    <t>CMTL</t>
  </si>
  <si>
    <t>CNDT</t>
  </si>
  <si>
    <t>CNK</t>
  </si>
  <si>
    <t>CNMD</t>
  </si>
  <si>
    <t>CNNE</t>
  </si>
  <si>
    <t>CNO</t>
  </si>
  <si>
    <t>CNOB</t>
  </si>
  <si>
    <t>CNR</t>
  </si>
  <si>
    <t>CNS</t>
  </si>
  <si>
    <t>CNSL</t>
  </si>
  <si>
    <t>CNTY</t>
  </si>
  <si>
    <t>CNVY</t>
  </si>
  <si>
    <t>CNX</t>
  </si>
  <si>
    <t>CNXN</t>
  </si>
  <si>
    <t>COCO</t>
  </si>
  <si>
    <t>COGT</t>
  </si>
  <si>
    <t>COHU</t>
  </si>
  <si>
    <t>COKE</t>
  </si>
  <si>
    <t>COLB</t>
  </si>
  <si>
    <t>COLL</t>
  </si>
  <si>
    <t>CONN</t>
  </si>
  <si>
    <t>COOK</t>
  </si>
  <si>
    <t>COOP</t>
  </si>
  <si>
    <t>CORT</t>
  </si>
  <si>
    <t>COUR</t>
  </si>
  <si>
    <t>COWN</t>
  </si>
  <si>
    <t>CPE</t>
  </si>
  <si>
    <t>CPF</t>
  </si>
  <si>
    <t>CPK</t>
  </si>
  <si>
    <t>CPRX</t>
  </si>
  <si>
    <t>CPS</t>
  </si>
  <si>
    <t>CPSI</t>
  </si>
  <si>
    <t>CRAI</t>
  </si>
  <si>
    <t>CRBU</t>
  </si>
  <si>
    <t>CRC</t>
  </si>
  <si>
    <t>CRDA</t>
  </si>
  <si>
    <t>CRDF</t>
  </si>
  <si>
    <t>CRDO</t>
  </si>
  <si>
    <t>CRGY</t>
  </si>
  <si>
    <t>CRIS</t>
  </si>
  <si>
    <t>CRK</t>
  </si>
  <si>
    <t>CRMD</t>
  </si>
  <si>
    <t>CRMT</t>
  </si>
  <si>
    <t>CRNC</t>
  </si>
  <si>
    <t>CRNX</t>
  </si>
  <si>
    <t>CROX</t>
  </si>
  <si>
    <t>CRS</t>
  </si>
  <si>
    <t>CRSR</t>
  </si>
  <si>
    <t>CRTX</t>
  </si>
  <si>
    <t>CRVL</t>
  </si>
  <si>
    <t>CSGS</t>
  </si>
  <si>
    <t>CSII</t>
  </si>
  <si>
    <t>CSR</t>
  </si>
  <si>
    <t>CSSE</t>
  </si>
  <si>
    <t>CSTE</t>
  </si>
  <si>
    <t>CSTL</t>
  </si>
  <si>
    <t>CSTM</t>
  </si>
  <si>
    <t>CSTR</t>
  </si>
  <si>
    <t>CSV</t>
  </si>
  <si>
    <t>CSWI</t>
  </si>
  <si>
    <t>CTBI</t>
  </si>
  <si>
    <t>CTKB</t>
  </si>
  <si>
    <t>CTLP</t>
  </si>
  <si>
    <t>CTMX</t>
  </si>
  <si>
    <t>CTO</t>
  </si>
  <si>
    <t>CTOS</t>
  </si>
  <si>
    <t>CTRE</t>
  </si>
  <si>
    <t>CTRN</t>
  </si>
  <si>
    <t>CTS</t>
  </si>
  <si>
    <t>CTSO</t>
  </si>
  <si>
    <t>CTT</t>
  </si>
  <si>
    <t>CTXR</t>
  </si>
  <si>
    <t>CUBI</t>
  </si>
  <si>
    <t>CUE</t>
  </si>
  <si>
    <t>CURI</t>
  </si>
  <si>
    <t>CURO</t>
  </si>
  <si>
    <t>CURV</t>
  </si>
  <si>
    <t>CUTR</t>
  </si>
  <si>
    <t>CVBF</t>
  </si>
  <si>
    <t>CVCO</t>
  </si>
  <si>
    <t>CVET</t>
  </si>
  <si>
    <t>CVGI</t>
  </si>
  <si>
    <t>CVGW</t>
  </si>
  <si>
    <t>CVI</t>
  </si>
  <si>
    <t>CVLG</t>
  </si>
  <si>
    <t>CVLT</t>
  </si>
  <si>
    <t>CVM</t>
  </si>
  <si>
    <t>CVRX</t>
  </si>
  <si>
    <t>CWEN</t>
  </si>
  <si>
    <t>CWENA</t>
  </si>
  <si>
    <t>CWH</t>
  </si>
  <si>
    <t>CWK</t>
  </si>
  <si>
    <t>CWST</t>
  </si>
  <si>
    <t>CWT</t>
  </si>
  <si>
    <t>CXW</t>
  </si>
  <si>
    <t>CYH</t>
  </si>
  <si>
    <t>CYRX</t>
  </si>
  <si>
    <t>CYT</t>
  </si>
  <si>
    <t>CYTK</t>
  </si>
  <si>
    <t>CZNC</t>
  </si>
  <si>
    <t>DAKT</t>
  </si>
  <si>
    <t>DAN</t>
  </si>
  <si>
    <t>DAWN</t>
  </si>
  <si>
    <t>DBD</t>
  </si>
  <si>
    <t>DBI</t>
  </si>
  <si>
    <t>DBRG</t>
  </si>
  <si>
    <t>DCO</t>
  </si>
  <si>
    <t>DCOM</t>
  </si>
  <si>
    <t>DCPH</t>
  </si>
  <si>
    <t>DDD</t>
  </si>
  <si>
    <t>DDS</t>
  </si>
  <si>
    <t>DEA</t>
  </si>
  <si>
    <t>DEN</t>
  </si>
  <si>
    <t>DENN</t>
  </si>
  <si>
    <t>DFIN</t>
  </si>
  <si>
    <t>DGICA</t>
  </si>
  <si>
    <t>DGII</t>
  </si>
  <si>
    <t>DHC</t>
  </si>
  <si>
    <t>DHIL</t>
  </si>
  <si>
    <t>DHT</t>
  </si>
  <si>
    <t>DIBS</t>
  </si>
  <si>
    <t>DICE</t>
  </si>
  <si>
    <t>DIN</t>
  </si>
  <si>
    <t>DIOD</t>
  </si>
  <si>
    <t>DJCO</t>
  </si>
  <si>
    <t>DK</t>
  </si>
  <si>
    <t>DLTH</t>
  </si>
  <si>
    <t>DLX</t>
  </si>
  <si>
    <t>DM</t>
  </si>
  <si>
    <t>DMRC</t>
  </si>
  <si>
    <t>DMS</t>
  </si>
  <si>
    <t>DMTK</t>
  </si>
  <si>
    <t>DNAY</t>
  </si>
  <si>
    <t>DNLI</t>
  </si>
  <si>
    <t>DNMR</t>
  </si>
  <si>
    <t>DNOW</t>
  </si>
  <si>
    <t>DNUT</t>
  </si>
  <si>
    <t>DOC</t>
  </si>
  <si>
    <t>DOCN</t>
  </si>
  <si>
    <t>DOMO</t>
  </si>
  <si>
    <t>DOOR</t>
  </si>
  <si>
    <t>DORM</t>
  </si>
  <si>
    <t>DOUG</t>
  </si>
  <si>
    <t>DRH</t>
  </si>
  <si>
    <t>DRIO</t>
  </si>
  <si>
    <t>DRQ</t>
  </si>
  <si>
    <t>DRRX</t>
  </si>
  <si>
    <t>DS</t>
  </si>
  <si>
    <t>DSGN</t>
  </si>
  <si>
    <t>DSKE</t>
  </si>
  <si>
    <t>DSP</t>
  </si>
  <si>
    <t>DTC</t>
  </si>
  <si>
    <t>DTIL</t>
  </si>
  <si>
    <t>DVAX</t>
  </si>
  <si>
    <t>DX</t>
  </si>
  <si>
    <t>DXPE</t>
  </si>
  <si>
    <t>DY</t>
  </si>
  <si>
    <t>DYN</t>
  </si>
  <si>
    <t>DZSI</t>
  </si>
  <si>
    <t>EAF</t>
  </si>
  <si>
    <t>EAR</t>
  </si>
  <si>
    <t>EAT</t>
  </si>
  <si>
    <t>EB</t>
  </si>
  <si>
    <t>EBC</t>
  </si>
  <si>
    <t>EBET</t>
  </si>
  <si>
    <t>EBF</t>
  </si>
  <si>
    <t>EBIX</t>
  </si>
  <si>
    <t>EBS</t>
  </si>
  <si>
    <t>EBTC</t>
  </si>
  <si>
    <t>ECOL</t>
  </si>
  <si>
    <t>ECOM</t>
  </si>
  <si>
    <t>ECPG</t>
  </si>
  <si>
    <t>ECVT</t>
  </si>
  <si>
    <t>EDIT</t>
  </si>
  <si>
    <t>EEX</t>
  </si>
  <si>
    <t>EFC</t>
  </si>
  <si>
    <t>EFSC</t>
  </si>
  <si>
    <t>EGAN</t>
  </si>
  <si>
    <t>EGBN</t>
  </si>
  <si>
    <t>EGHT</t>
  </si>
  <si>
    <t>EGLE</t>
  </si>
  <si>
    <t>EGP</t>
  </si>
  <si>
    <t>EGRX</t>
  </si>
  <si>
    <t>EHTH</t>
  </si>
  <si>
    <t>EIG</t>
  </si>
  <si>
    <t>EIGR</t>
  </si>
  <si>
    <t>ELF</t>
  </si>
  <si>
    <t>ELY</t>
  </si>
  <si>
    <t>ELYM</t>
  </si>
  <si>
    <t>EME</t>
  </si>
  <si>
    <t>EMKR</t>
  </si>
  <si>
    <t>ENDP</t>
  </si>
  <si>
    <t>ENFN</t>
  </si>
  <si>
    <t>ENR</t>
  </si>
  <si>
    <t>ENS</t>
  </si>
  <si>
    <t>ENSG</t>
  </si>
  <si>
    <t>ENTA</t>
  </si>
  <si>
    <t>ENV</t>
  </si>
  <si>
    <t>ENVA</t>
  </si>
  <si>
    <t>EOLS</t>
  </si>
  <si>
    <t>EOSE</t>
  </si>
  <si>
    <t>EPAC</t>
  </si>
  <si>
    <t>EPAY</t>
  </si>
  <si>
    <t>EPC</t>
  </si>
  <si>
    <t>EPRT</t>
  </si>
  <si>
    <t>EPZM</t>
  </si>
  <si>
    <t>EQBK</t>
  </si>
  <si>
    <t>EQC</t>
  </si>
  <si>
    <t>ERAS</t>
  </si>
  <si>
    <t>ERII</t>
  </si>
  <si>
    <t>ESCA</t>
  </si>
  <si>
    <t>ESE</t>
  </si>
  <si>
    <t>ESGR</t>
  </si>
  <si>
    <t>ESMT</t>
  </si>
  <si>
    <t>ESNT</t>
  </si>
  <si>
    <t>ESPR</t>
  </si>
  <si>
    <t>ESRT</t>
  </si>
  <si>
    <t>ESTE</t>
  </si>
  <si>
    <t>ETD</t>
  </si>
  <si>
    <t>ETNB</t>
  </si>
  <si>
    <t>ETRN</t>
  </si>
  <si>
    <t>ETWO</t>
  </si>
  <si>
    <t>EVC</t>
  </si>
  <si>
    <t>EVCM</t>
  </si>
  <si>
    <t>EVER</t>
  </si>
  <si>
    <t>EVH</t>
  </si>
  <si>
    <t>EVI</t>
  </si>
  <si>
    <t>EVLO</t>
  </si>
  <si>
    <t>EVOP</t>
  </si>
  <si>
    <t>EVRI</t>
  </si>
  <si>
    <t>EVTC</t>
  </si>
  <si>
    <t>EWCZ</t>
  </si>
  <si>
    <t>EWTX</t>
  </si>
  <si>
    <t>EXLS</t>
  </si>
  <si>
    <t>EXPI</t>
  </si>
  <si>
    <t>EXPO</t>
  </si>
  <si>
    <t>EXTR</t>
  </si>
  <si>
    <t>EYE</t>
  </si>
  <si>
    <t>EYPT</t>
  </si>
  <si>
    <t>EZPW</t>
  </si>
  <si>
    <t>FA</t>
  </si>
  <si>
    <t>FARO</t>
  </si>
  <si>
    <t>FATE</t>
  </si>
  <si>
    <t>FBC</t>
  </si>
  <si>
    <t>FBIO</t>
  </si>
  <si>
    <t>FBK</t>
  </si>
  <si>
    <t>FBMS</t>
  </si>
  <si>
    <t>FBNC</t>
  </si>
  <si>
    <t>FBP</t>
  </si>
  <si>
    <t>FBRT</t>
  </si>
  <si>
    <t>FBRX</t>
  </si>
  <si>
    <t>FC</t>
  </si>
  <si>
    <t>FCBC</t>
  </si>
  <si>
    <t>FCEL</t>
  </si>
  <si>
    <t>FCF</t>
  </si>
  <si>
    <t>FCFS</t>
  </si>
  <si>
    <t>FCPT</t>
  </si>
  <si>
    <t>FDBC</t>
  </si>
  <si>
    <t>FDMT</t>
  </si>
  <si>
    <t>FDP</t>
  </si>
  <si>
    <t>FELE</t>
  </si>
  <si>
    <t>FF</t>
  </si>
  <si>
    <t>FFBC</t>
  </si>
  <si>
    <t>FFIC</t>
  </si>
  <si>
    <t>FFIN</t>
  </si>
  <si>
    <t>FFWM</t>
  </si>
  <si>
    <t>FGEN</t>
  </si>
  <si>
    <t>FHI</t>
  </si>
  <si>
    <t>FHTX</t>
  </si>
  <si>
    <t>FIBK</t>
  </si>
  <si>
    <t>FISI</t>
  </si>
  <si>
    <t>FIX</t>
  </si>
  <si>
    <t>FIXX</t>
  </si>
  <si>
    <t>FIZZ</t>
  </si>
  <si>
    <t>FLGT</t>
  </si>
  <si>
    <t>FLIC</t>
  </si>
  <si>
    <t>FLL</t>
  </si>
  <si>
    <t>FLNT</t>
  </si>
  <si>
    <t>FLR</t>
  </si>
  <si>
    <t>FLWS</t>
  </si>
  <si>
    <t>FLXS</t>
  </si>
  <si>
    <t>FLYW</t>
  </si>
  <si>
    <t>FMBH</t>
  </si>
  <si>
    <t>FMNB</t>
  </si>
  <si>
    <t>FMTX</t>
  </si>
  <si>
    <t>FN</t>
  </si>
  <si>
    <t>FNA</t>
  </si>
  <si>
    <t>FNCH</t>
  </si>
  <si>
    <t>FNKO</t>
  </si>
  <si>
    <t>FNLC</t>
  </si>
  <si>
    <t>FOA</t>
  </si>
  <si>
    <t>FOCS</t>
  </si>
  <si>
    <t>FOE</t>
  </si>
  <si>
    <t>FOLD</t>
  </si>
  <si>
    <t>FOR</t>
  </si>
  <si>
    <t>FORA</t>
  </si>
  <si>
    <t>FORM</t>
  </si>
  <si>
    <t>FORR</t>
  </si>
  <si>
    <t>FOSL</t>
  </si>
  <si>
    <t>FOXF</t>
  </si>
  <si>
    <t>FPI</t>
  </si>
  <si>
    <t>FRBA</t>
  </si>
  <si>
    <t>FRBK</t>
  </si>
  <si>
    <t>FREE</t>
  </si>
  <si>
    <t>FREQ</t>
  </si>
  <si>
    <t>FRG</t>
  </si>
  <si>
    <t>FRGI</t>
  </si>
  <si>
    <t>FRME</t>
  </si>
  <si>
    <t>FRO</t>
  </si>
  <si>
    <t>FROG</t>
  </si>
  <si>
    <t>FRPH</t>
  </si>
  <si>
    <t>FRST</t>
  </si>
  <si>
    <t>FSBC</t>
  </si>
  <si>
    <t>FSBW</t>
  </si>
  <si>
    <t>FSP</t>
  </si>
  <si>
    <t>FSR</t>
  </si>
  <si>
    <t>FSS</t>
  </si>
  <si>
    <t>FTCI</t>
  </si>
  <si>
    <t>FTHM</t>
  </si>
  <si>
    <t>FUBO</t>
  </si>
  <si>
    <t>FUL</t>
  </si>
  <si>
    <t>FULC</t>
  </si>
  <si>
    <t>FULT</t>
  </si>
  <si>
    <t>FUV</t>
  </si>
  <si>
    <t>FWRD</t>
  </si>
  <si>
    <t>FWRG</t>
  </si>
  <si>
    <t>FXLV</t>
  </si>
  <si>
    <t>GABC</t>
  </si>
  <si>
    <t>GAN</t>
  </si>
  <si>
    <t>GATO</t>
  </si>
  <si>
    <t>GATX</t>
  </si>
  <si>
    <t>GBCI</t>
  </si>
  <si>
    <t>GBIO</t>
  </si>
  <si>
    <t>GBL</t>
  </si>
  <si>
    <t>GBOX</t>
  </si>
  <si>
    <t>GBT</t>
  </si>
  <si>
    <t>GBX</t>
  </si>
  <si>
    <t>GCI</t>
  </si>
  <si>
    <t>GCMG</t>
  </si>
  <si>
    <t>GCO</t>
  </si>
  <si>
    <t>GCP</t>
  </si>
  <si>
    <t>GDEN</t>
  </si>
  <si>
    <t>GDOT</t>
  </si>
  <si>
    <t>GDYN</t>
  </si>
  <si>
    <t>GEF</t>
  </si>
  <si>
    <t>GEFB</t>
  </si>
  <si>
    <t>GEO</t>
  </si>
  <si>
    <t>GERN</t>
  </si>
  <si>
    <t>GES</t>
  </si>
  <si>
    <t>GEVO</t>
  </si>
  <si>
    <t>GFF</t>
  </si>
  <si>
    <t>GHC</t>
  </si>
  <si>
    <t>GHL</t>
  </si>
  <si>
    <t>GIC</t>
  </si>
  <si>
    <t>GIII</t>
  </si>
  <si>
    <t>GKOS</t>
  </si>
  <si>
    <t>GLDD</t>
  </si>
  <si>
    <t>GLNG</t>
  </si>
  <si>
    <t>GLRE</t>
  </si>
  <si>
    <t>GLSI</t>
  </si>
  <si>
    <t>GLT</t>
  </si>
  <si>
    <t>GLUE</t>
  </si>
  <si>
    <t>GMRE</t>
  </si>
  <si>
    <t>GMS</t>
  </si>
  <si>
    <t>GMTX</t>
  </si>
  <si>
    <t>GNK</t>
  </si>
  <si>
    <t>GNL</t>
  </si>
  <si>
    <t>GNLN</t>
  </si>
  <si>
    <t>GNOG</t>
  </si>
  <si>
    <t>GNTY</t>
  </si>
  <si>
    <t>GNUS</t>
  </si>
  <si>
    <t>GNW</t>
  </si>
  <si>
    <t>GOEV</t>
  </si>
  <si>
    <t>GOGO</t>
  </si>
  <si>
    <t>GOLF</t>
  </si>
  <si>
    <t>GOOD</t>
  </si>
  <si>
    <t>GOSS</t>
  </si>
  <si>
    <t>GPI</t>
  </si>
  <si>
    <t>GPMT</t>
  </si>
  <si>
    <t>GPRE</t>
  </si>
  <si>
    <t>GPRO</t>
  </si>
  <si>
    <t>GRBK</t>
  </si>
  <si>
    <t>GRC</t>
  </si>
  <si>
    <t>GRPH</t>
  </si>
  <si>
    <t>GRPN</t>
  </si>
  <si>
    <t>GRTS</t>
  </si>
  <si>
    <t>GRWG</t>
  </si>
  <si>
    <t>GSAT</t>
  </si>
  <si>
    <t>GSBC</t>
  </si>
  <si>
    <t>GSHD</t>
  </si>
  <si>
    <t>GT</t>
  </si>
  <si>
    <t>GTBP</t>
  </si>
  <si>
    <t>GTHX</t>
  </si>
  <si>
    <t>GTLS</t>
  </si>
  <si>
    <t>GTN</t>
  </si>
  <si>
    <t>GTY</t>
  </si>
  <si>
    <t>GTYH</t>
  </si>
  <si>
    <t>GVA</t>
  </si>
  <si>
    <t>GWRS</t>
  </si>
  <si>
    <t>HA</t>
  </si>
  <si>
    <t>HAE</t>
  </si>
  <si>
    <t>HAFC</t>
  </si>
  <si>
    <t>HALO</t>
  </si>
  <si>
    <t>HARP</t>
  </si>
  <si>
    <t>HASI</t>
  </si>
  <si>
    <t>HAYN</t>
  </si>
  <si>
    <t>HBB</t>
  </si>
  <si>
    <t>HBCP</t>
  </si>
  <si>
    <t>HBIO</t>
  </si>
  <si>
    <t>HBNC</t>
  </si>
  <si>
    <t>HBT</t>
  </si>
  <si>
    <t>HCAT</t>
  </si>
  <si>
    <t>HCC</t>
  </si>
  <si>
    <t>HCCI</t>
  </si>
  <si>
    <t>HCI</t>
  </si>
  <si>
    <t>HCKT</t>
  </si>
  <si>
    <t>HCSG</t>
  </si>
  <si>
    <t>HEAR</t>
  </si>
  <si>
    <t>HEES</t>
  </si>
  <si>
    <t>HELE</t>
  </si>
  <si>
    <t>HFFG</t>
  </si>
  <si>
    <t>HFWA</t>
  </si>
  <si>
    <t>HGEN</t>
  </si>
  <si>
    <t>HGV</t>
  </si>
  <si>
    <t>HI</t>
  </si>
  <si>
    <t>HIBB</t>
  </si>
  <si>
    <t>HIFS</t>
  </si>
  <si>
    <t>HL</t>
  </si>
  <si>
    <t>HLI</t>
  </si>
  <si>
    <t>HLIO</t>
  </si>
  <si>
    <t>HLIT</t>
  </si>
  <si>
    <t>HLNE</t>
  </si>
  <si>
    <t>HLTH</t>
  </si>
  <si>
    <t>HLX</t>
  </si>
  <si>
    <t>HMN</t>
  </si>
  <si>
    <t>HMPT</t>
  </si>
  <si>
    <t>HMST</t>
  </si>
  <si>
    <t>HMTV</t>
  </si>
  <si>
    <t>HNGR</t>
  </si>
  <si>
    <t>HNI</t>
  </si>
  <si>
    <t>HNST</t>
  </si>
  <si>
    <t>HOFT</t>
  </si>
  <si>
    <t>HOFV</t>
  </si>
  <si>
    <t>HOMB</t>
  </si>
  <si>
    <t>HONE</t>
  </si>
  <si>
    <t>HOOK</t>
  </si>
  <si>
    <t>HOPE</t>
  </si>
  <si>
    <t>HOV</t>
  </si>
  <si>
    <t>HOWL</t>
  </si>
  <si>
    <t>HP</t>
  </si>
  <si>
    <t>HPK</t>
  </si>
  <si>
    <t>HQI</t>
  </si>
  <si>
    <t>HQY</t>
  </si>
  <si>
    <t>HR</t>
  </si>
  <si>
    <t>HRI</t>
  </si>
  <si>
    <t>HRMY</t>
  </si>
  <si>
    <t>HRT</t>
  </si>
  <si>
    <t>HRTG</t>
  </si>
  <si>
    <t>HRTX</t>
  </si>
  <si>
    <t>HSC</t>
  </si>
  <si>
    <t>HSII</t>
  </si>
  <si>
    <t>HSKA</t>
  </si>
  <si>
    <t>HSTM</t>
  </si>
  <si>
    <t>HT</t>
  </si>
  <si>
    <t>HTBI</t>
  </si>
  <si>
    <t>HTBK</t>
  </si>
  <si>
    <t>HTH</t>
  </si>
  <si>
    <t>HTLD</t>
  </si>
  <si>
    <t>HTLF</t>
  </si>
  <si>
    <t>HUBG</t>
  </si>
  <si>
    <t>HURN</t>
  </si>
  <si>
    <t>HVT</t>
  </si>
  <si>
    <t>HWC</t>
  </si>
  <si>
    <t>HWKN</t>
  </si>
  <si>
    <t>HY</t>
  </si>
  <si>
    <t>HYFM</t>
  </si>
  <si>
    <t>HYLN</t>
  </si>
  <si>
    <t>HYRE</t>
  </si>
  <si>
    <t>HZO</t>
  </si>
  <si>
    <t>IAS</t>
  </si>
  <si>
    <t>IBCP</t>
  </si>
  <si>
    <t>IBEX</t>
  </si>
  <si>
    <t>IBIO</t>
  </si>
  <si>
    <t>IBOC</t>
  </si>
  <si>
    <t>IBP</t>
  </si>
  <si>
    <t>IBRX</t>
  </si>
  <si>
    <t>IBTX</t>
  </si>
  <si>
    <t>ICAD</t>
  </si>
  <si>
    <t>ICFI</t>
  </si>
  <si>
    <t>ICHR</t>
  </si>
  <si>
    <t>ICPT</t>
  </si>
  <si>
    <t>ICVX</t>
  </si>
  <si>
    <t>IDCC</t>
  </si>
  <si>
    <t>IDEX</t>
  </si>
  <si>
    <t>IDT</t>
  </si>
  <si>
    <t>IDYA</t>
  </si>
  <si>
    <t>IEA</t>
  </si>
  <si>
    <t>IESC</t>
  </si>
  <si>
    <t>IGMS</t>
  </si>
  <si>
    <t>IGT</t>
  </si>
  <si>
    <t>IHRT</t>
  </si>
  <si>
    <t>IIIN</t>
  </si>
  <si>
    <t>IIIV</t>
  </si>
  <si>
    <t>IIPR</t>
  </si>
  <si>
    <t>IIVI</t>
  </si>
  <si>
    <t>IKNA</t>
  </si>
  <si>
    <t>ILPT</t>
  </si>
  <si>
    <t>IMAX</t>
  </si>
  <si>
    <t>IMGN</t>
  </si>
  <si>
    <t>IMGO</t>
  </si>
  <si>
    <t>IMKTA</t>
  </si>
  <si>
    <t>IMPL</t>
  </si>
  <si>
    <t>IMRX</t>
  </si>
  <si>
    <t>IMUX</t>
  </si>
  <si>
    <t>IMVT</t>
  </si>
  <si>
    <t>IMXI</t>
  </si>
  <si>
    <t>INBK</t>
  </si>
  <si>
    <t>INBX</t>
  </si>
  <si>
    <t>INDB</t>
  </si>
  <si>
    <t>INDT</t>
  </si>
  <si>
    <t>INFI</t>
  </si>
  <si>
    <t>INFN</t>
  </si>
  <si>
    <t>INFU</t>
  </si>
  <si>
    <t>INGN</t>
  </si>
  <si>
    <t>INN</t>
  </si>
  <si>
    <t>INNV</t>
  </si>
  <si>
    <t>INO</t>
  </si>
  <si>
    <t>INSG</t>
  </si>
  <si>
    <t>INSM</t>
  </si>
  <si>
    <t>INSP</t>
  </si>
  <si>
    <t>INST</t>
  </si>
  <si>
    <t>INSW</t>
  </si>
  <si>
    <t>INT</t>
  </si>
  <si>
    <t>INTA</t>
  </si>
  <si>
    <t>INVA</t>
  </si>
  <si>
    <t>INVE</t>
  </si>
  <si>
    <t>INZY</t>
  </si>
  <si>
    <t>IOSP</t>
  </si>
  <si>
    <t>IPAR</t>
  </si>
  <si>
    <t>IPI</t>
  </si>
  <si>
    <t>IPSC</t>
  </si>
  <si>
    <t>IRBT</t>
  </si>
  <si>
    <t>IRDM</t>
  </si>
  <si>
    <t>IRMD</t>
  </si>
  <si>
    <t>IRT</t>
  </si>
  <si>
    <t>IRTC</t>
  </si>
  <si>
    <t>IRWD</t>
  </si>
  <si>
    <t>ISEE</t>
  </si>
  <si>
    <t>ISO</t>
  </si>
  <si>
    <t>ITCI</t>
  </si>
  <si>
    <t>ITGR</t>
  </si>
  <si>
    <t>ITI</t>
  </si>
  <si>
    <t>ITIC</t>
  </si>
  <si>
    <t>ITOS</t>
  </si>
  <si>
    <t>ITRI</t>
  </si>
  <si>
    <t>IVC</t>
  </si>
  <si>
    <t>IVR</t>
  </si>
  <si>
    <t>JACK</t>
  </si>
  <si>
    <t>JANX</t>
  </si>
  <si>
    <t>JBSS</t>
  </si>
  <si>
    <t>JBT</t>
  </si>
  <si>
    <t>JELD</t>
  </si>
  <si>
    <t>JJSF</t>
  </si>
  <si>
    <t>JNCE</t>
  </si>
  <si>
    <t>JOAN</t>
  </si>
  <si>
    <t>JOE</t>
  </si>
  <si>
    <t>JOUT</t>
  </si>
  <si>
    <t>JRVR</t>
  </si>
  <si>
    <t>JYNT</t>
  </si>
  <si>
    <t>KAI</t>
  </si>
  <si>
    <t>KALA</t>
  </si>
  <si>
    <t>KALU</t>
  </si>
  <si>
    <t>KALV</t>
  </si>
  <si>
    <t>KAMN</t>
  </si>
  <si>
    <t>KAR</t>
  </si>
  <si>
    <t>KBAL</t>
  </si>
  <si>
    <t>KBH</t>
  </si>
  <si>
    <t>KBR</t>
  </si>
  <si>
    <t>KDNY</t>
  </si>
  <si>
    <t>KE</t>
  </si>
  <si>
    <t>KELYA</t>
  </si>
  <si>
    <t>KFRC</t>
  </si>
  <si>
    <t>KFY</t>
  </si>
  <si>
    <t>KIDS</t>
  </si>
  <si>
    <t>KIRK</t>
  </si>
  <si>
    <t>KLDO</t>
  </si>
  <si>
    <t>KLIC</t>
  </si>
  <si>
    <t>KLTR</t>
  </si>
  <si>
    <t>KMPH</t>
  </si>
  <si>
    <t>KMT</t>
  </si>
  <si>
    <t>KN</t>
  </si>
  <si>
    <t>KNSA</t>
  </si>
  <si>
    <t>KNSL</t>
  </si>
  <si>
    <t>KNTE</t>
  </si>
  <si>
    <t>KNTK</t>
  </si>
  <si>
    <t>KOD</t>
  </si>
  <si>
    <t>KODK</t>
  </si>
  <si>
    <t>KOP</t>
  </si>
  <si>
    <t>KOPN</t>
  </si>
  <si>
    <t>KOS</t>
  </si>
  <si>
    <t>KPTI</t>
  </si>
  <si>
    <t>KREF</t>
  </si>
  <si>
    <t>KRG</t>
  </si>
  <si>
    <t>KRNY</t>
  </si>
  <si>
    <t>KRO</t>
  </si>
  <si>
    <t>KRON</t>
  </si>
  <si>
    <t>KROS</t>
  </si>
  <si>
    <t>KRT</t>
  </si>
  <si>
    <t>KRTX</t>
  </si>
  <si>
    <t>KRUS</t>
  </si>
  <si>
    <t>KRYS</t>
  </si>
  <si>
    <t>KTB</t>
  </si>
  <si>
    <t>KTOS</t>
  </si>
  <si>
    <t>KURA</t>
  </si>
  <si>
    <t>KVHI</t>
  </si>
  <si>
    <t>KW</t>
  </si>
  <si>
    <t>KWR</t>
  </si>
  <si>
    <t>KYMR</t>
  </si>
  <si>
    <t>KZR</t>
  </si>
  <si>
    <t>LAB</t>
  </si>
  <si>
    <t>LABP</t>
  </si>
  <si>
    <t>LADR</t>
  </si>
  <si>
    <t>LANC</t>
  </si>
  <si>
    <t>LAND</t>
  </si>
  <si>
    <t>LASR</t>
  </si>
  <si>
    <t>LAUR</t>
  </si>
  <si>
    <t>LAW</t>
  </si>
  <si>
    <t>LAZY</t>
  </si>
  <si>
    <t>LBAI</t>
  </si>
  <si>
    <t>LBC</t>
  </si>
  <si>
    <t>LBRT</t>
  </si>
  <si>
    <t>LC</t>
  </si>
  <si>
    <t>LCII</t>
  </si>
  <si>
    <t>LCTX</t>
  </si>
  <si>
    <t>LCUT</t>
  </si>
  <si>
    <t>LE</t>
  </si>
  <si>
    <t>LEGH</t>
  </si>
  <si>
    <t>LEU</t>
  </si>
  <si>
    <t>LFST</t>
  </si>
  <si>
    <t>LGFA</t>
  </si>
  <si>
    <t>LGFB</t>
  </si>
  <si>
    <t>LGIH</t>
  </si>
  <si>
    <t>LGND</t>
  </si>
  <si>
    <t>LHCG</t>
  </si>
  <si>
    <t>LILA</t>
  </si>
  <si>
    <t>LILAK</t>
  </si>
  <si>
    <t>LIND</t>
  </si>
  <si>
    <t>LIVN</t>
  </si>
  <si>
    <t>LKFN</t>
  </si>
  <si>
    <t>LL</t>
  </si>
  <si>
    <t>LLNW</t>
  </si>
  <si>
    <t>LMAT</t>
  </si>
  <si>
    <t>LMNR</t>
  </si>
  <si>
    <t>LNDC</t>
  </si>
  <si>
    <t>LNN</t>
  </si>
  <si>
    <t>LNTH</t>
  </si>
  <si>
    <t>LOB</t>
  </si>
  <si>
    <t>LOCO</t>
  </si>
  <si>
    <t>LOTZ</t>
  </si>
  <si>
    <t>LOVE</t>
  </si>
  <si>
    <t>LPG</t>
  </si>
  <si>
    <t>LPI</t>
  </si>
  <si>
    <t>LPRO</t>
  </si>
  <si>
    <t>LPSN</t>
  </si>
  <si>
    <t>LQDT</t>
  </si>
  <si>
    <t>LRN</t>
  </si>
  <si>
    <t>LSCC</t>
  </si>
  <si>
    <t>LSEA</t>
  </si>
  <si>
    <t>LSF</t>
  </si>
  <si>
    <t>LTC</t>
  </si>
  <si>
    <t>LTH</t>
  </si>
  <si>
    <t>LTHM</t>
  </si>
  <si>
    <t>LTRPA</t>
  </si>
  <si>
    <t>LUNA</t>
  </si>
  <si>
    <t>LUNG</t>
  </si>
  <si>
    <t>LVLU</t>
  </si>
  <si>
    <t>LVO</t>
  </si>
  <si>
    <t>LXFR</t>
  </si>
  <si>
    <t>LXP</t>
  </si>
  <si>
    <t>LXRX</t>
  </si>
  <si>
    <t>LYEL</t>
  </si>
  <si>
    <t>LZB</t>
  </si>
  <si>
    <t>M</t>
  </si>
  <si>
    <t>MAC</t>
  </si>
  <si>
    <t>MANT</t>
  </si>
  <si>
    <t>MARA</t>
  </si>
  <si>
    <t>MASS</t>
  </si>
  <si>
    <t>MATW</t>
  </si>
  <si>
    <t>MATX</t>
  </si>
  <si>
    <t>MAX</t>
  </si>
  <si>
    <t>MAXR</t>
  </si>
  <si>
    <t>MBI</t>
  </si>
  <si>
    <t>MBII</t>
  </si>
  <si>
    <t>MBIN</t>
  </si>
  <si>
    <t>MBIO</t>
  </si>
  <si>
    <t>MBUU</t>
  </si>
  <si>
    <t>MBWM</t>
  </si>
  <si>
    <t>MC</t>
  </si>
  <si>
    <t>MCB</t>
  </si>
  <si>
    <t>MCBC</t>
  </si>
  <si>
    <t>MCBS</t>
  </si>
  <si>
    <t>MCFT</t>
  </si>
  <si>
    <t>MCRB</t>
  </si>
  <si>
    <t>MCRI</t>
  </si>
  <si>
    <t>MCS</t>
  </si>
  <si>
    <t>MD</t>
  </si>
  <si>
    <t>MDC</t>
  </si>
  <si>
    <t>MDGL</t>
  </si>
  <si>
    <t>MDRX</t>
  </si>
  <si>
    <t>MDVL</t>
  </si>
  <si>
    <t>MDXG</t>
  </si>
  <si>
    <t>MEC</t>
  </si>
  <si>
    <t>MED</t>
  </si>
  <si>
    <t>MEDP</t>
  </si>
  <si>
    <t>MEG</t>
  </si>
  <si>
    <t>MEI</t>
  </si>
  <si>
    <t>MEIP</t>
  </si>
  <si>
    <t>MESA</t>
  </si>
  <si>
    <t>MFA</t>
  </si>
  <si>
    <t>MG</t>
  </si>
  <si>
    <t>MGEE</t>
  </si>
  <si>
    <t>MGI</t>
  </si>
  <si>
    <t>MGNI</t>
  </si>
  <si>
    <t>MGNX</t>
  </si>
  <si>
    <t>MGPI</t>
  </si>
  <si>
    <t>MGRC</t>
  </si>
  <si>
    <t>MGTA</t>
  </si>
  <si>
    <t>MGTX</t>
  </si>
  <si>
    <t>MGY</t>
  </si>
  <si>
    <t>MHLD</t>
  </si>
  <si>
    <t>MHO</t>
  </si>
  <si>
    <t>MILE</t>
  </si>
  <si>
    <t>MIME</t>
  </si>
  <si>
    <t>MIRM</t>
  </si>
  <si>
    <t>MITK</t>
  </si>
  <si>
    <t>MLAB</t>
  </si>
  <si>
    <t>MLI</t>
  </si>
  <si>
    <t>MLKN</t>
  </si>
  <si>
    <t>MLNK</t>
  </si>
  <si>
    <t>MLR</t>
  </si>
  <si>
    <t>MMAT</t>
  </si>
  <si>
    <t>MMI</t>
  </si>
  <si>
    <t>MMS</t>
  </si>
  <si>
    <t>MMSI</t>
  </si>
  <si>
    <t>MNKD</t>
  </si>
  <si>
    <t>MNMD</t>
  </si>
  <si>
    <t>MNRL</t>
  </si>
  <si>
    <t>MNRO</t>
  </si>
  <si>
    <t>MNTV</t>
  </si>
  <si>
    <t>MOD</t>
  </si>
  <si>
    <t>MODN</t>
  </si>
  <si>
    <t>MODV</t>
  </si>
  <si>
    <t>MOFG</t>
  </si>
  <si>
    <t>MOGA</t>
  </si>
  <si>
    <t>MORF</t>
  </si>
  <si>
    <t>MOV</t>
  </si>
  <si>
    <t>MP</t>
  </si>
  <si>
    <t>MPAA</t>
  </si>
  <si>
    <t>MPB</t>
  </si>
  <si>
    <t>MPLN</t>
  </si>
  <si>
    <t>MPX</t>
  </si>
  <si>
    <t>MRC</t>
  </si>
  <si>
    <t>MRNS</t>
  </si>
  <si>
    <t>MRSN</t>
  </si>
  <si>
    <t>MRTN</t>
  </si>
  <si>
    <t>MSBI</t>
  </si>
  <si>
    <t>MSEX</t>
  </si>
  <si>
    <t>MSGE</t>
  </si>
  <si>
    <t>MSTR</t>
  </si>
  <si>
    <t>MTDR</t>
  </si>
  <si>
    <t>MTEM</t>
  </si>
  <si>
    <t>MTH</t>
  </si>
  <si>
    <t>MTOR</t>
  </si>
  <si>
    <t>MTRN</t>
  </si>
  <si>
    <t>MTRX</t>
  </si>
  <si>
    <t>MTSI</t>
  </si>
  <si>
    <t>MTW</t>
  </si>
  <si>
    <t>MTX</t>
  </si>
  <si>
    <t>MUR</t>
  </si>
  <si>
    <t>MUSA</t>
  </si>
  <si>
    <t>MVBF</t>
  </si>
  <si>
    <t>MVIS</t>
  </si>
  <si>
    <t>MWA</t>
  </si>
  <si>
    <t>MXCT</t>
  </si>
  <si>
    <t>MXL</t>
  </si>
  <si>
    <t>MYE</t>
  </si>
  <si>
    <t>MYGN</t>
  </si>
  <si>
    <t>MYRG</t>
  </si>
  <si>
    <t>NAPA</t>
  </si>
  <si>
    <t>NARI</t>
  </si>
  <si>
    <t>NAT</t>
  </si>
  <si>
    <t>NATH</t>
  </si>
  <si>
    <t>NATR</t>
  </si>
  <si>
    <t>NAVI</t>
  </si>
  <si>
    <t>NBEV</t>
  </si>
  <si>
    <t>NBHC</t>
  </si>
  <si>
    <t>NBR</t>
  </si>
  <si>
    <t>NBTB</t>
  </si>
  <si>
    <t>NCBS</t>
  </si>
  <si>
    <t>NCMI</t>
  </si>
  <si>
    <t>NDLS</t>
  </si>
  <si>
    <t>NEO</t>
  </si>
  <si>
    <t>NEOG</t>
  </si>
  <si>
    <t>NESR</t>
  </si>
  <si>
    <t>NEX</t>
  </si>
  <si>
    <t>NEXI</t>
  </si>
  <si>
    <t>NFBK</t>
  </si>
  <si>
    <t>NG</t>
  </si>
  <si>
    <t>NGM</t>
  </si>
  <si>
    <t>NGMS</t>
  </si>
  <si>
    <t>NGVC</t>
  </si>
  <si>
    <t>NGVT</t>
  </si>
  <si>
    <t>NH</t>
  </si>
  <si>
    <t>NHC</t>
  </si>
  <si>
    <t>NHI</t>
  </si>
  <si>
    <t>NJR</t>
  </si>
  <si>
    <t>NKLA</t>
  </si>
  <si>
    <t>NKTX</t>
  </si>
  <si>
    <t>NL</t>
  </si>
  <si>
    <t>NLS</t>
  </si>
  <si>
    <t>NLTX</t>
  </si>
  <si>
    <t>NMIH</t>
  </si>
  <si>
    <t>NMRK</t>
  </si>
  <si>
    <t>NMTR</t>
  </si>
  <si>
    <t>NNBR</t>
  </si>
  <si>
    <t>NNI</t>
  </si>
  <si>
    <t>NODK</t>
  </si>
  <si>
    <t>NOG</t>
  </si>
  <si>
    <t>NOTV</t>
  </si>
  <si>
    <t>NOVA</t>
  </si>
  <si>
    <t>NOVT</t>
  </si>
  <si>
    <t>NP</t>
  </si>
  <si>
    <t>NPCE</t>
  </si>
  <si>
    <t>NPK</t>
  </si>
  <si>
    <t>NPO</t>
  </si>
  <si>
    <t>NPTN</t>
  </si>
  <si>
    <t>NR</t>
  </si>
  <si>
    <t>NRC</t>
  </si>
  <si>
    <t>NRIM</t>
  </si>
  <si>
    <t>NRIX</t>
  </si>
  <si>
    <t>NSA</t>
  </si>
  <si>
    <t>NSIT</t>
  </si>
  <si>
    <t>NSP</t>
  </si>
  <si>
    <t>NSSC</t>
  </si>
  <si>
    <t>NSTG</t>
  </si>
  <si>
    <t>NTB</t>
  </si>
  <si>
    <t>NTCT</t>
  </si>
  <si>
    <t>NTGR</t>
  </si>
  <si>
    <t>NTLA</t>
  </si>
  <si>
    <t>NTST</t>
  </si>
  <si>
    <t>NTUS</t>
  </si>
  <si>
    <t>NUS</t>
  </si>
  <si>
    <t>NUVA</t>
  </si>
  <si>
    <t>NUVB</t>
  </si>
  <si>
    <t>NUVL</t>
  </si>
  <si>
    <t>NVEC</t>
  </si>
  <si>
    <t>NVEE</t>
  </si>
  <si>
    <t>NVRO</t>
  </si>
  <si>
    <t>NVTA</t>
  </si>
  <si>
    <t>NWBI</t>
  </si>
  <si>
    <t>NWE</t>
  </si>
  <si>
    <t>NWLI</t>
  </si>
  <si>
    <t>NWN</t>
  </si>
  <si>
    <t>NWPX</t>
  </si>
  <si>
    <t>NX</t>
  </si>
  <si>
    <t>NXGN</t>
  </si>
  <si>
    <t>NXRT</t>
  </si>
  <si>
    <t>NYMT</t>
  </si>
  <si>
    <t>OAS</t>
  </si>
  <si>
    <t>OB</t>
  </si>
  <si>
    <t>OBNK</t>
  </si>
  <si>
    <t>OCDX</t>
  </si>
  <si>
    <t>OCFC</t>
  </si>
  <si>
    <t>OCGN</t>
  </si>
  <si>
    <t>OCN</t>
  </si>
  <si>
    <t>OCUL</t>
  </si>
  <si>
    <t>OCX</t>
  </si>
  <si>
    <t>ODC</t>
  </si>
  <si>
    <t>ODP</t>
  </si>
  <si>
    <t>OEC</t>
  </si>
  <si>
    <t>OFC</t>
  </si>
  <si>
    <t>OFG</t>
  </si>
  <si>
    <t>OFIX</t>
  </si>
  <si>
    <t>OFLX</t>
  </si>
  <si>
    <t>OGS</t>
  </si>
  <si>
    <t>OI</t>
  </si>
  <si>
    <t>OII</t>
  </si>
  <si>
    <t>OIS</t>
  </si>
  <si>
    <t>OLMA</t>
  </si>
  <si>
    <t>OLP</t>
  </si>
  <si>
    <t>OM</t>
  </si>
  <si>
    <t>OMCL</t>
  </si>
  <si>
    <t>OMER</t>
  </si>
  <si>
    <t>OMGA</t>
  </si>
  <si>
    <t>OMI</t>
  </si>
  <si>
    <t>OMIC</t>
  </si>
  <si>
    <t>ONB</t>
  </si>
  <si>
    <t>ONCR</t>
  </si>
  <si>
    <t>ONCT</t>
  </si>
  <si>
    <t>ONEM</t>
  </si>
  <si>
    <t>ONEW</t>
  </si>
  <si>
    <t>ONTF</t>
  </si>
  <si>
    <t>ONTO</t>
  </si>
  <si>
    <t>OOMA</t>
  </si>
  <si>
    <t>OPCH</t>
  </si>
  <si>
    <t>OPI</t>
  </si>
  <si>
    <t>OPK</t>
  </si>
  <si>
    <t>OPRT</t>
  </si>
  <si>
    <t>OPRX</t>
  </si>
  <si>
    <t>OPY</t>
  </si>
  <si>
    <t>ORA</t>
  </si>
  <si>
    <t>ORC</t>
  </si>
  <si>
    <t>ORGO</t>
  </si>
  <si>
    <t>ORIC</t>
  </si>
  <si>
    <t>ORMP</t>
  </si>
  <si>
    <t>ORRF</t>
  </si>
  <si>
    <t>OSBC</t>
  </si>
  <si>
    <t>OSIS</t>
  </si>
  <si>
    <t>OSPN</t>
  </si>
  <si>
    <t>OSTK</t>
  </si>
  <si>
    <t>OSUR</t>
  </si>
  <si>
    <t>OSW</t>
  </si>
  <si>
    <t>OTLK</t>
  </si>
  <si>
    <t>OTRK</t>
  </si>
  <si>
    <t>OTTR</t>
  </si>
  <si>
    <t>OUST</t>
  </si>
  <si>
    <t>OUT</t>
  </si>
  <si>
    <t>OVV</t>
  </si>
  <si>
    <t>OXM</t>
  </si>
  <si>
    <t>OYST</t>
  </si>
  <si>
    <t>PACB</t>
  </si>
  <si>
    <t>PACK</t>
  </si>
  <si>
    <t>PAHC</t>
  </si>
  <si>
    <t>PAR</t>
  </si>
  <si>
    <t>PARR</t>
  </si>
  <si>
    <t>PASG</t>
  </si>
  <si>
    <t>PATK</t>
  </si>
  <si>
    <t>PAVM</t>
  </si>
  <si>
    <t>PAYA</t>
  </si>
  <si>
    <t>PBF</t>
  </si>
  <si>
    <t>PBFS</t>
  </si>
  <si>
    <t>PBH</t>
  </si>
  <si>
    <t>PBI</t>
  </si>
  <si>
    <t>PBYI</t>
  </si>
  <si>
    <t>PCH</t>
  </si>
  <si>
    <t>PCRX</t>
  </si>
  <si>
    <t>PCSB</t>
  </si>
  <si>
    <t>PCT</t>
  </si>
  <si>
    <t>PCVX</t>
  </si>
  <si>
    <t>PCYO</t>
  </si>
  <si>
    <t>PD</t>
  </si>
  <si>
    <t>PDCE</t>
  </si>
  <si>
    <t>PDCO</t>
  </si>
  <si>
    <t>PDFS</t>
  </si>
  <si>
    <t>PDLI</t>
  </si>
  <si>
    <t>PDM</t>
  </si>
  <si>
    <t>PEB</t>
  </si>
  <si>
    <t>PEBO</t>
  </si>
  <si>
    <t>PECO</t>
  </si>
  <si>
    <t>PETQ</t>
  </si>
  <si>
    <t>PETS</t>
  </si>
  <si>
    <t>PFBC</t>
  </si>
  <si>
    <t>PFC</t>
  </si>
  <si>
    <t>PFGC</t>
  </si>
  <si>
    <t>PFIS</t>
  </si>
  <si>
    <t>PFS</t>
  </si>
  <si>
    <t>PFSI</t>
  </si>
  <si>
    <t>PGC</t>
  </si>
  <si>
    <t>PGEN</t>
  </si>
  <si>
    <t>PGNY</t>
  </si>
  <si>
    <t>PGRE</t>
  </si>
  <si>
    <t>PGTI</t>
  </si>
  <si>
    <t>PHAT</t>
  </si>
  <si>
    <t>PHR</t>
  </si>
  <si>
    <t>PI</t>
  </si>
  <si>
    <t>PING</t>
  </si>
  <si>
    <t>PIPR</t>
  </si>
  <si>
    <t>PJT</t>
  </si>
  <si>
    <t>PKE</t>
  </si>
  <si>
    <t>PKOH</t>
  </si>
  <si>
    <t>PLAB</t>
  </si>
  <si>
    <t>PLAY</t>
  </si>
  <si>
    <t>PLBY</t>
  </si>
  <si>
    <t>PLCE</t>
  </si>
  <si>
    <t>PLM</t>
  </si>
  <si>
    <t>PLMR</t>
  </si>
  <si>
    <t>PLOW</t>
  </si>
  <si>
    <t>PLPC</t>
  </si>
  <si>
    <t>PLRX</t>
  </si>
  <si>
    <t>PLSE</t>
  </si>
  <si>
    <t>PLUS</t>
  </si>
  <si>
    <t>PLXS</t>
  </si>
  <si>
    <t>PLYM</t>
  </si>
  <si>
    <t>PMT</t>
  </si>
  <si>
    <t>PMVP</t>
  </si>
  <si>
    <t>PNM</t>
  </si>
  <si>
    <t>PNTG</t>
  </si>
  <si>
    <t>POLY</t>
  </si>
  <si>
    <t>POR</t>
  </si>
  <si>
    <t>POWI</t>
  </si>
  <si>
    <t>POWL</t>
  </si>
  <si>
    <t>POWW</t>
  </si>
  <si>
    <t>PPBI</t>
  </si>
  <si>
    <t>PPTA</t>
  </si>
  <si>
    <t>PRA</t>
  </si>
  <si>
    <t>PRAA</t>
  </si>
  <si>
    <t>PRAX</t>
  </si>
  <si>
    <t>PRCH</t>
  </si>
  <si>
    <t>PRCT</t>
  </si>
  <si>
    <t>PRDO</t>
  </si>
  <si>
    <t>PRFT</t>
  </si>
  <si>
    <t>PRG</t>
  </si>
  <si>
    <t>PRGS</t>
  </si>
  <si>
    <t>PRIM</t>
  </si>
  <si>
    <t>PRK</t>
  </si>
  <si>
    <t>PRLB</t>
  </si>
  <si>
    <t>PRLD</t>
  </si>
  <si>
    <t>PRMW</t>
  </si>
  <si>
    <t>PRO</t>
  </si>
  <si>
    <t>PRPL</t>
  </si>
  <si>
    <t>PRTA</t>
  </si>
  <si>
    <t>PRTG</t>
  </si>
  <si>
    <t>PRTH</t>
  </si>
  <si>
    <t>PRTK</t>
  </si>
  <si>
    <t>PRTS</t>
  </si>
  <si>
    <t>PRTY</t>
  </si>
  <si>
    <t>PRVA</t>
  </si>
  <si>
    <t>PRVB</t>
  </si>
  <si>
    <t>PSB</t>
  </si>
  <si>
    <t>PSMT</t>
  </si>
  <si>
    <t>PSN</t>
  </si>
  <si>
    <t>PSNL</t>
  </si>
  <si>
    <t>PSTL</t>
  </si>
  <si>
    <t>PSTX</t>
  </si>
  <si>
    <t>PTCT</t>
  </si>
  <si>
    <t>PTEN</t>
  </si>
  <si>
    <t>PTGX</t>
  </si>
  <si>
    <t>PTLO</t>
  </si>
  <si>
    <t>PTSI</t>
  </si>
  <si>
    <t>PTVE</t>
  </si>
  <si>
    <t>PUMP</t>
  </si>
  <si>
    <t>PVBC</t>
  </si>
  <si>
    <t>PWSC</t>
  </si>
  <si>
    <t>PYXS</t>
  </si>
  <si>
    <t>PZN</t>
  </si>
  <si>
    <t>PZZA</t>
  </si>
  <si>
    <t>QCRH</t>
  </si>
  <si>
    <t>QLYS</t>
  </si>
  <si>
    <t>QMCO</t>
  </si>
  <si>
    <t>QNST</t>
  </si>
  <si>
    <t>QTNT</t>
  </si>
  <si>
    <t>QTRX</t>
  </si>
  <si>
    <t>QTWO</t>
  </si>
  <si>
    <t>QUOT</t>
  </si>
  <si>
    <t>RAD</t>
  </si>
  <si>
    <t>RADI</t>
  </si>
  <si>
    <t>RAIN</t>
  </si>
  <si>
    <t>RAMP</t>
  </si>
  <si>
    <t>RAPT</t>
  </si>
  <si>
    <t>RBB</t>
  </si>
  <si>
    <t>RBBN</t>
  </si>
  <si>
    <t>RBCAA</t>
  </si>
  <si>
    <t>RC</t>
  </si>
  <si>
    <t>RCEL</t>
  </si>
  <si>
    <t>RCII</t>
  </si>
  <si>
    <t>RCKT</t>
  </si>
  <si>
    <t>RCKY</t>
  </si>
  <si>
    <t>RCM</t>
  </si>
  <si>
    <t>RCUS</t>
  </si>
  <si>
    <t>RDFN</t>
  </si>
  <si>
    <t>RDN</t>
  </si>
  <si>
    <t>RDNT</t>
  </si>
  <si>
    <t>RDUS</t>
  </si>
  <si>
    <t>REAL</t>
  </si>
  <si>
    <t>REFI</t>
  </si>
  <si>
    <t>REGI</t>
  </si>
  <si>
    <t>REKR</t>
  </si>
  <si>
    <t>RELY</t>
  </si>
  <si>
    <t>RENT</t>
  </si>
  <si>
    <t>REPL</t>
  </si>
  <si>
    <t>REPX</t>
  </si>
  <si>
    <t>RES</t>
  </si>
  <si>
    <t>RETA</t>
  </si>
  <si>
    <t>REV</t>
  </si>
  <si>
    <t>REVG</t>
  </si>
  <si>
    <t>REX</t>
  </si>
  <si>
    <t>REZI</t>
  </si>
  <si>
    <t>RFL</t>
  </si>
  <si>
    <t>RGNX</t>
  </si>
  <si>
    <t>RGP</t>
  </si>
  <si>
    <t>RGR</t>
  </si>
  <si>
    <t>RGS</t>
  </si>
  <si>
    <t>RHP</t>
  </si>
  <si>
    <t>RICK</t>
  </si>
  <si>
    <t>RIDE</t>
  </si>
  <si>
    <t>RIGL</t>
  </si>
  <si>
    <t>RILY</t>
  </si>
  <si>
    <t>RIOT</t>
  </si>
  <si>
    <t>RLAY</t>
  </si>
  <si>
    <t>RLGT</t>
  </si>
  <si>
    <t>RLI</t>
  </si>
  <si>
    <t>RLJ</t>
  </si>
  <si>
    <t>RLMD</t>
  </si>
  <si>
    <t>RLYB</t>
  </si>
  <si>
    <t>RM</t>
  </si>
  <si>
    <t>RMAX</t>
  </si>
  <si>
    <t>RMBS</t>
  </si>
  <si>
    <t>RMNI</t>
  </si>
  <si>
    <t>RMO</t>
  </si>
  <si>
    <t>RMR</t>
  </si>
  <si>
    <t>RNA</t>
  </si>
  <si>
    <t>RNST</t>
  </si>
  <si>
    <t>ROAD</t>
  </si>
  <si>
    <t>ROCC</t>
  </si>
  <si>
    <t>ROCK</t>
  </si>
  <si>
    <t>ROG</t>
  </si>
  <si>
    <t>ROIC</t>
  </si>
  <si>
    <t>ROLL</t>
  </si>
  <si>
    <t>RPAY</t>
  </si>
  <si>
    <t>RPD</t>
  </si>
  <si>
    <t>RPHM</t>
  </si>
  <si>
    <t>RPID</t>
  </si>
  <si>
    <t>RPT</t>
  </si>
  <si>
    <t>RRBI</t>
  </si>
  <si>
    <t>RRC</t>
  </si>
  <si>
    <t>RRGB</t>
  </si>
  <si>
    <t>RRR</t>
  </si>
  <si>
    <t>RSI</t>
  </si>
  <si>
    <t>RUBY</t>
  </si>
  <si>
    <t>RUSHA</t>
  </si>
  <si>
    <t>RUSHB</t>
  </si>
  <si>
    <t>RUTH</t>
  </si>
  <si>
    <t>RVLV</t>
  </si>
  <si>
    <t>RVMD</t>
  </si>
  <si>
    <t>RVNC</t>
  </si>
  <si>
    <t>RVP</t>
  </si>
  <si>
    <t>RWT</t>
  </si>
  <si>
    <t>RXDX</t>
  </si>
  <si>
    <t>RXRX</t>
  </si>
  <si>
    <t>RXST</t>
  </si>
  <si>
    <t>RXT</t>
  </si>
  <si>
    <t>RYAM</t>
  </si>
  <si>
    <t>RYI</t>
  </si>
  <si>
    <t>RYTM</t>
  </si>
  <si>
    <t>SAFE</t>
  </si>
  <si>
    <t>SAFM</t>
  </si>
  <si>
    <t>SAFT</t>
  </si>
  <si>
    <t>SAH</t>
  </si>
  <si>
    <t>SAIA</t>
  </si>
  <si>
    <t>SAIL</t>
  </si>
  <si>
    <t>SANA</t>
  </si>
  <si>
    <t>SANM</t>
  </si>
  <si>
    <t>SASR</t>
  </si>
  <si>
    <t>SATS</t>
  </si>
  <si>
    <t>SAVA</t>
  </si>
  <si>
    <t>SAVE</t>
  </si>
  <si>
    <t>SB</t>
  </si>
  <si>
    <t>SBCF</t>
  </si>
  <si>
    <t>SBGI</t>
  </si>
  <si>
    <t>SBH</t>
  </si>
  <si>
    <t>SBRA</t>
  </si>
  <si>
    <t>SBSI</t>
  </si>
  <si>
    <t>SBTX</t>
  </si>
  <si>
    <t>SCHL</t>
  </si>
  <si>
    <t>SCHN</t>
  </si>
  <si>
    <t>SCL</t>
  </si>
  <si>
    <t>SCOR</t>
  </si>
  <si>
    <t>SCS</t>
  </si>
  <si>
    <t>SCSC</t>
  </si>
  <si>
    <t>SCU</t>
  </si>
  <si>
    <t>SCVL</t>
  </si>
  <si>
    <t>SCWX</t>
  </si>
  <si>
    <t>SDGR</t>
  </si>
  <si>
    <t>SDIG</t>
  </si>
  <si>
    <t>SEAS</t>
  </si>
  <si>
    <t>SEEL</t>
  </si>
  <si>
    <t>SEER</t>
  </si>
  <si>
    <t>SELB</t>
  </si>
  <si>
    <t>SEM</t>
  </si>
  <si>
    <t>SENEA</t>
  </si>
  <si>
    <t>SENS</t>
  </si>
  <si>
    <t>SERA</t>
  </si>
  <si>
    <t>SESN</t>
  </si>
  <si>
    <t>SFBS</t>
  </si>
  <si>
    <t>SFIX</t>
  </si>
  <si>
    <t>SFL</t>
  </si>
  <si>
    <t>SFM</t>
  </si>
  <si>
    <t>SFNC</t>
  </si>
  <si>
    <t>SFST</t>
  </si>
  <si>
    <t>SFT</t>
  </si>
  <si>
    <t>SG</t>
  </si>
  <si>
    <t>SGC</t>
  </si>
  <si>
    <t>SGH</t>
  </si>
  <si>
    <t>SGHT</t>
  </si>
  <si>
    <t>SGMO</t>
  </si>
  <si>
    <t>SGRY</t>
  </si>
  <si>
    <t>SGTX</t>
  </si>
  <si>
    <t>SHAK</t>
  </si>
  <si>
    <t>SHEN</t>
  </si>
  <si>
    <t>SHO</t>
  </si>
  <si>
    <t>SHOO</t>
  </si>
  <si>
    <t>SHYF</t>
  </si>
  <si>
    <t>SI</t>
  </si>
  <si>
    <t>SIBN</t>
  </si>
  <si>
    <t>SIEN</t>
  </si>
  <si>
    <t>SIG</t>
  </si>
  <si>
    <t>SIGA</t>
  </si>
  <si>
    <t>SIGI</t>
  </si>
  <si>
    <t>SILK</t>
  </si>
  <si>
    <t>SITC</t>
  </si>
  <si>
    <t>SITM</t>
  </si>
  <si>
    <t>SJI</t>
  </si>
  <si>
    <t>SJW</t>
  </si>
  <si>
    <t>SKIN</t>
  </si>
  <si>
    <t>SKT</t>
  </si>
  <si>
    <t>SKY</t>
  </si>
  <si>
    <t>SKYT</t>
  </si>
  <si>
    <t>SKYW</t>
  </si>
  <si>
    <t>SLAB</t>
  </si>
  <si>
    <t>SLCA</t>
  </si>
  <si>
    <t>SLDB</t>
  </si>
  <si>
    <t>SLP</t>
  </si>
  <si>
    <t>SLQT</t>
  </si>
  <si>
    <t>SM</t>
  </si>
  <si>
    <t>SMBC</t>
  </si>
  <si>
    <t>SMBK</t>
  </si>
  <si>
    <t>SMCI</t>
  </si>
  <si>
    <t>SMED</t>
  </si>
  <si>
    <t>SMMF</t>
  </si>
  <si>
    <t>SMMT</t>
  </si>
  <si>
    <t>SMP</t>
  </si>
  <si>
    <t>SMPL</t>
  </si>
  <si>
    <t>SMSI</t>
  </si>
  <si>
    <t>SMTC</t>
  </si>
  <si>
    <t>SNBR</t>
  </si>
  <si>
    <t>SNCY</t>
  </si>
  <si>
    <t>SNDX</t>
  </si>
  <si>
    <t>SNEX</t>
  </si>
  <si>
    <t>SNPO</t>
  </si>
  <si>
    <t>SNSE</t>
  </si>
  <si>
    <t>SOI</t>
  </si>
  <si>
    <t>SONO</t>
  </si>
  <si>
    <t>SOVO</t>
  </si>
  <si>
    <t>SP</t>
  </si>
  <si>
    <t>SPFI</t>
  </si>
  <si>
    <t>SPNE</t>
  </si>
  <si>
    <t>SPNS</t>
  </si>
  <si>
    <t>SPNT</t>
  </si>
  <si>
    <t>SPPI</t>
  </si>
  <si>
    <t>SPRB</t>
  </si>
  <si>
    <t>SPRO</t>
  </si>
  <si>
    <t>SPSC</t>
  </si>
  <si>
    <t>SPT</t>
  </si>
  <si>
    <t>SPTN</t>
  </si>
  <si>
    <t>SPWH</t>
  </si>
  <si>
    <t>SPWR</t>
  </si>
  <si>
    <t>SPXC</t>
  </si>
  <si>
    <t>SQZ</t>
  </si>
  <si>
    <t>SR</t>
  </si>
  <si>
    <t>SRCE</t>
  </si>
  <si>
    <t>SRDX</t>
  </si>
  <si>
    <t>SRG</t>
  </si>
  <si>
    <t>SRI</t>
  </si>
  <si>
    <t>SRNE</t>
  </si>
  <si>
    <t>SRRK</t>
  </si>
  <si>
    <t>SRT</t>
  </si>
  <si>
    <t>SSB</t>
  </si>
  <si>
    <t>SSD</t>
  </si>
  <si>
    <t>SSP</t>
  </si>
  <si>
    <t>SSTI</t>
  </si>
  <si>
    <t>SSTK</t>
  </si>
  <si>
    <t>STAA</t>
  </si>
  <si>
    <t>STAG</t>
  </si>
  <si>
    <t>STAR</t>
  </si>
  <si>
    <t>STBA</t>
  </si>
  <si>
    <t>STC</t>
  </si>
  <si>
    <t>STEM</t>
  </si>
  <si>
    <t>STEP</t>
  </si>
  <si>
    <t>STER</t>
  </si>
  <si>
    <t>STGW</t>
  </si>
  <si>
    <t>STIM</t>
  </si>
  <si>
    <t>STKS</t>
  </si>
  <si>
    <t>STNG</t>
  </si>
  <si>
    <t>STOK</t>
  </si>
  <si>
    <t>STON</t>
  </si>
  <si>
    <t>STRA</t>
  </si>
  <si>
    <t>STRL</t>
  </si>
  <si>
    <t>STRO</t>
  </si>
  <si>
    <t>STTK</t>
  </si>
  <si>
    <t>STXS</t>
  </si>
  <si>
    <t>SUM</t>
  </si>
  <si>
    <t>SUMO</t>
  </si>
  <si>
    <t>SUPN</t>
  </si>
  <si>
    <t>SURF</t>
  </si>
  <si>
    <t>SVC</t>
  </si>
  <si>
    <t>SWAV</t>
  </si>
  <si>
    <t>SWBI</t>
  </si>
  <si>
    <t>SWIM</t>
  </si>
  <si>
    <t>SWM</t>
  </si>
  <si>
    <t>SWN</t>
  </si>
  <si>
    <t>SWTX</t>
  </si>
  <si>
    <t>SWX</t>
  </si>
  <si>
    <t>SXC</t>
  </si>
  <si>
    <t>SXI</t>
  </si>
  <si>
    <t>SXT</t>
  </si>
  <si>
    <t>SYBT</t>
  </si>
  <si>
    <t>SYNA</t>
  </si>
  <si>
    <t>SYRS</t>
  </si>
  <si>
    <t>TA</t>
  </si>
  <si>
    <t>TALO</t>
  </si>
  <si>
    <t>TALS</t>
  </si>
  <si>
    <t>TARS</t>
  </si>
  <si>
    <t>TAST</t>
  </si>
  <si>
    <t>TBBK</t>
  </si>
  <si>
    <t>TBI</t>
  </si>
  <si>
    <t>TBK</t>
  </si>
  <si>
    <t>TBPH</t>
  </si>
  <si>
    <t>TCBI</t>
  </si>
  <si>
    <t>TCBK</t>
  </si>
  <si>
    <t>TCBX</t>
  </si>
  <si>
    <t>TCMD</t>
  </si>
  <si>
    <t>TCRR</t>
  </si>
  <si>
    <t>TCRT</t>
  </si>
  <si>
    <t>TCS</t>
  </si>
  <si>
    <t>TCX</t>
  </si>
  <si>
    <t>TDS</t>
  </si>
  <si>
    <t>TDW</t>
  </si>
  <si>
    <t>TELL</t>
  </si>
  <si>
    <t>TEN</t>
  </si>
  <si>
    <t>TENB</t>
  </si>
  <si>
    <t>TERN</t>
  </si>
  <si>
    <t>TEX</t>
  </si>
  <si>
    <t>TG</t>
  </si>
  <si>
    <t>TGH</t>
  </si>
  <si>
    <t>TGI</t>
  </si>
  <si>
    <t>TGNA</t>
  </si>
  <si>
    <t>TGTX</t>
  </si>
  <si>
    <t>TH</t>
  </si>
  <si>
    <t>THC</t>
  </si>
  <si>
    <t>THFF</t>
  </si>
  <si>
    <t>THR</t>
  </si>
  <si>
    <t>THRM</t>
  </si>
  <si>
    <t>THRX</t>
  </si>
  <si>
    <t>THRY</t>
  </si>
  <si>
    <t>THS</t>
  </si>
  <si>
    <t>TIG</t>
  </si>
  <si>
    <t>TIL</t>
  </si>
  <si>
    <t>TILE</t>
  </si>
  <si>
    <t>TIPT</t>
  </si>
  <si>
    <t>TISI</t>
  </si>
  <si>
    <t>TITN</t>
  </si>
  <si>
    <t>TK</t>
  </si>
  <si>
    <t>TKNO</t>
  </si>
  <si>
    <t>TLIS</t>
  </si>
  <si>
    <t>TLS</t>
  </si>
  <si>
    <t>TLYS</t>
  </si>
  <si>
    <t>TMCI</t>
  </si>
  <si>
    <t>TMDX</t>
  </si>
  <si>
    <t>TMHC</t>
  </si>
  <si>
    <t>TMP</t>
  </si>
  <si>
    <t>TMST</t>
  </si>
  <si>
    <t>TNC</t>
  </si>
  <si>
    <t>TNET</t>
  </si>
  <si>
    <t>TNK</t>
  </si>
  <si>
    <t>TNXP</t>
  </si>
  <si>
    <t>TNYA</t>
  </si>
  <si>
    <t>TOWN</t>
  </si>
  <si>
    <t>TPB</t>
  </si>
  <si>
    <t>TPC</t>
  </si>
  <si>
    <t>TPH</t>
  </si>
  <si>
    <t>TPIC</t>
  </si>
  <si>
    <t>TPTX</t>
  </si>
  <si>
    <t>TR</t>
  </si>
  <si>
    <t>TRC</t>
  </si>
  <si>
    <t>TRDA</t>
  </si>
  <si>
    <t>TREE</t>
  </si>
  <si>
    <t>TRHC</t>
  </si>
  <si>
    <t>TRMK</t>
  </si>
  <si>
    <t>TRN</t>
  </si>
  <si>
    <t>TRNO</t>
  </si>
  <si>
    <t>TRNS</t>
  </si>
  <si>
    <t>TROX</t>
  </si>
  <si>
    <t>TRS</t>
  </si>
  <si>
    <t>TRST</t>
  </si>
  <si>
    <t>TRTN</t>
  </si>
  <si>
    <t>TRTX</t>
  </si>
  <si>
    <t>TRUP</t>
  </si>
  <si>
    <t>TRVN</t>
  </si>
  <si>
    <t>TSAT</t>
  </si>
  <si>
    <t>TSC</t>
  </si>
  <si>
    <t>TSE</t>
  </si>
  <si>
    <t>TSHA</t>
  </si>
  <si>
    <t>TSVT</t>
  </si>
  <si>
    <t>TTCF</t>
  </si>
  <si>
    <t>TTEC</t>
  </si>
  <si>
    <t>TTEK</t>
  </si>
  <si>
    <t>TTGT</t>
  </si>
  <si>
    <t>TTI</t>
  </si>
  <si>
    <t>TTMI</t>
  </si>
  <si>
    <t>TUP</t>
  </si>
  <si>
    <t>TVTX</t>
  </si>
  <si>
    <t>TVTY</t>
  </si>
  <si>
    <t>TWI</t>
  </si>
  <si>
    <t>TWNK</t>
  </si>
  <si>
    <t>TWO</t>
  </si>
  <si>
    <t>TWOU</t>
  </si>
  <si>
    <t>TWST</t>
  </si>
  <si>
    <t>TXMD</t>
  </si>
  <si>
    <t>TXRH</t>
  </si>
  <si>
    <t>TYRA</t>
  </si>
  <si>
    <t>UAVS</t>
  </si>
  <si>
    <t>UBA</t>
  </si>
  <si>
    <t>UBSI</t>
  </si>
  <si>
    <t>UCBI</t>
  </si>
  <si>
    <t>UCTT</t>
  </si>
  <si>
    <t>UDMY</t>
  </si>
  <si>
    <t>UE</t>
  </si>
  <si>
    <t>UEC</t>
  </si>
  <si>
    <t>UEIC</t>
  </si>
  <si>
    <t>UFCS</t>
  </si>
  <si>
    <t>UFI</t>
  </si>
  <si>
    <t>UFPI</t>
  </si>
  <si>
    <t>UFPT</t>
  </si>
  <si>
    <t>UHT</t>
  </si>
  <si>
    <t>UIHC</t>
  </si>
  <si>
    <t>UIS</t>
  </si>
  <si>
    <t>ULCC</t>
  </si>
  <si>
    <t>ULH</t>
  </si>
  <si>
    <t>UMBF</t>
  </si>
  <si>
    <t>UMH</t>
  </si>
  <si>
    <t>UNF</t>
  </si>
  <si>
    <t>UNFI</t>
  </si>
  <si>
    <t>UNIT</t>
  </si>
  <si>
    <t>UPLD</t>
  </si>
  <si>
    <t>UPWK</t>
  </si>
  <si>
    <t>URBN</t>
  </si>
  <si>
    <t>URG</t>
  </si>
  <si>
    <t>URGN</t>
  </si>
  <si>
    <t>USD</t>
  </si>
  <si>
    <t>USER</t>
  </si>
  <si>
    <t>USLM</t>
  </si>
  <si>
    <t>USM</t>
  </si>
  <si>
    <t>USNA</t>
  </si>
  <si>
    <t>USPH</t>
  </si>
  <si>
    <t>USX</t>
  </si>
  <si>
    <t>UTL</t>
  </si>
  <si>
    <t>UTMD</t>
  </si>
  <si>
    <t>UTZ</t>
  </si>
  <si>
    <t>UUUU</t>
  </si>
  <si>
    <t>UVE</t>
  </si>
  <si>
    <t>UVSP</t>
  </si>
  <si>
    <t>UVV</t>
  </si>
  <si>
    <t>VALU</t>
  </si>
  <si>
    <t>VAPO</t>
  </si>
  <si>
    <t>VATE</t>
  </si>
  <si>
    <t>VBIV</t>
  </si>
  <si>
    <t>VBTX</t>
  </si>
  <si>
    <t>VC</t>
  </si>
  <si>
    <t>VCEL</t>
  </si>
  <si>
    <t>VCYT</t>
  </si>
  <si>
    <t>VEC</t>
  </si>
  <si>
    <t>VECO</t>
  </si>
  <si>
    <t>VEL</t>
  </si>
  <si>
    <t>VERA</t>
  </si>
  <si>
    <t>VERI</t>
  </si>
  <si>
    <t>VERU</t>
  </si>
  <si>
    <t>VERV</t>
  </si>
  <si>
    <t>VG</t>
  </si>
  <si>
    <t>VGR</t>
  </si>
  <si>
    <t>VHC</t>
  </si>
  <si>
    <t>VHI</t>
  </si>
  <si>
    <t>VIA</t>
  </si>
  <si>
    <t>VIAV</t>
  </si>
  <si>
    <t>VICR</t>
  </si>
  <si>
    <t>VIEW</t>
  </si>
  <si>
    <t>VIGL</t>
  </si>
  <si>
    <t>VINC</t>
  </si>
  <si>
    <t>VIR</t>
  </si>
  <si>
    <t>VIRX</t>
  </si>
  <si>
    <t>VITL</t>
  </si>
  <si>
    <t>VIVO</t>
  </si>
  <si>
    <t>VKTX</t>
  </si>
  <si>
    <t>VLDR</t>
  </si>
  <si>
    <t>VLGEA</t>
  </si>
  <si>
    <t>VLY</t>
  </si>
  <si>
    <t>VMD</t>
  </si>
  <si>
    <t>VNDA</t>
  </si>
  <si>
    <t>VOR</t>
  </si>
  <si>
    <t>VOXX</t>
  </si>
  <si>
    <t>VPG</t>
  </si>
  <si>
    <t>VRA</t>
  </si>
  <si>
    <t>VRAY</t>
  </si>
  <si>
    <t>VRCA</t>
  </si>
  <si>
    <t>VRE</t>
  </si>
  <si>
    <t>VREX</t>
  </si>
  <si>
    <t>VRNS</t>
  </si>
  <si>
    <t>VRNT</t>
  </si>
  <si>
    <t>VRRM</t>
  </si>
  <si>
    <t>VRTS</t>
  </si>
  <si>
    <t>VRTV</t>
  </si>
  <si>
    <t>VSEC</t>
  </si>
  <si>
    <t>VSH</t>
  </si>
  <si>
    <t>VSTM</t>
  </si>
  <si>
    <t>VSTO</t>
  </si>
  <si>
    <t>VTGN</t>
  </si>
  <si>
    <t>VTOL</t>
  </si>
  <si>
    <t>VTYX</t>
  </si>
  <si>
    <t>VUZI</t>
  </si>
  <si>
    <t>VVI</t>
  </si>
  <si>
    <t>VVNT</t>
  </si>
  <si>
    <t>VXRT</t>
  </si>
  <si>
    <t>WABC</t>
  </si>
  <si>
    <t>WAFD</t>
  </si>
  <si>
    <t>WASH</t>
  </si>
  <si>
    <t>WBT</t>
  </si>
  <si>
    <t>WCC</t>
  </si>
  <si>
    <t>WD</t>
  </si>
  <si>
    <t>WDFC</t>
  </si>
  <si>
    <t>WEBR</t>
  </si>
  <si>
    <t>WERN</t>
  </si>
  <si>
    <t>WETF</t>
  </si>
  <si>
    <t>WGO</t>
  </si>
  <si>
    <t>WHD</t>
  </si>
  <si>
    <t>WINA</t>
  </si>
  <si>
    <t>WING</t>
  </si>
  <si>
    <t>WIRE</t>
  </si>
  <si>
    <t>WK</t>
  </si>
  <si>
    <t>WKHS</t>
  </si>
  <si>
    <t>WLDN</t>
  </si>
  <si>
    <t>WLFC</t>
  </si>
  <si>
    <t>WLL</t>
  </si>
  <si>
    <t>WLLAW</t>
  </si>
  <si>
    <t>WLLBW</t>
  </si>
  <si>
    <t>WLY</t>
  </si>
  <si>
    <t>WMK</t>
  </si>
  <si>
    <t>WNC</t>
  </si>
  <si>
    <t>WOR</t>
  </si>
  <si>
    <t>WOW</t>
  </si>
  <si>
    <t>WRE</t>
  </si>
  <si>
    <t>WRLD</t>
  </si>
  <si>
    <t>WSBC</t>
  </si>
  <si>
    <t>WSBF</t>
  </si>
  <si>
    <t>WSC</t>
  </si>
  <si>
    <t>WSFS</t>
  </si>
  <si>
    <t>WSR</t>
  </si>
  <si>
    <t>WTBA</t>
  </si>
  <si>
    <t>WTI</t>
  </si>
  <si>
    <t>WTS</t>
  </si>
  <si>
    <t>WTTR</t>
  </si>
  <si>
    <t>WVE</t>
  </si>
  <si>
    <t>WW</t>
  </si>
  <si>
    <t>WWW</t>
  </si>
  <si>
    <t>XBIT</t>
  </si>
  <si>
    <t>XENT</t>
  </si>
  <si>
    <t>XGN</t>
  </si>
  <si>
    <t>XHR</t>
  </si>
  <si>
    <t>XL</t>
  </si>
  <si>
    <t>XLO</t>
  </si>
  <si>
    <t>XMTR</t>
  </si>
  <si>
    <t>XNCR</t>
  </si>
  <si>
    <t>XOMA</t>
  </si>
  <si>
    <t>XPEL</t>
  </si>
  <si>
    <t>XPER</t>
  </si>
  <si>
    <t>XPOF</t>
  </si>
  <si>
    <t>XPRO</t>
  </si>
  <si>
    <t>XXII</t>
  </si>
  <si>
    <t>YELL</t>
  </si>
  <si>
    <t>YELP</t>
  </si>
  <si>
    <t>YEXT</t>
  </si>
  <si>
    <t>YMAB</t>
  </si>
  <si>
    <t>YORW</t>
  </si>
  <si>
    <t>ZD</t>
  </si>
  <si>
    <t>ZEUS</t>
  </si>
  <si>
    <t>ZGNX</t>
  </si>
  <si>
    <t>ZNTL</t>
  </si>
  <si>
    <t>ZUMZ</t>
  </si>
  <si>
    <t>ZUO</t>
  </si>
  <si>
    <t>ZVIA</t>
  </si>
  <si>
    <t>ZWS</t>
  </si>
  <si>
    <t>ZY</t>
  </si>
  <si>
    <t>ZYXI</t>
  </si>
  <si>
    <t>Technology</t>
  </si>
  <si>
    <t>N/A</t>
  </si>
  <si>
    <t>Healthcare</t>
  </si>
  <si>
    <t>Financial Services</t>
  </si>
  <si>
    <t>Industrials</t>
  </si>
  <si>
    <t>Basic Materials</t>
  </si>
  <si>
    <t>Energy</t>
  </si>
  <si>
    <t>Consumer Cyclical</t>
  </si>
  <si>
    <t>Consumer Defensive</t>
  </si>
  <si>
    <t>Real Estate</t>
  </si>
  <si>
    <t>Utilities</t>
  </si>
  <si>
    <t>Communication Services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</si>
  <si>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</si>
  <si>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</si>
  <si>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</si>
  <si>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</si>
  <si>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</si>
  <si>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</si>
  <si>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</si>
  <si>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</si>
  <si>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</si>
  <si>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2023-01-10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</si>
</sst>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90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20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14</v>
      </c>
      <c r="B2">
        <f>HYPERLINK("https://www.suredividend.com/sure-analysis-research-database/","AMKOR Technology Inc.")</f>
        <v>0</v>
      </c>
      <c r="C2" t="s">
        <v>1920</v>
      </c>
      <c r="D2">
        <v>29.82</v>
      </c>
      <c r="E2">
        <v>0.007519053530773001</v>
      </c>
      <c r="F2" t="s">
        <v>1921</v>
      </c>
      <c r="G2" t="s">
        <v>1921</v>
      </c>
      <c r="H2">
        <v>0.224218176287677</v>
      </c>
      <c r="I2">
        <v>7305.144182</v>
      </c>
      <c r="J2">
        <v>8.929970102341183</v>
      </c>
      <c r="K2">
        <v>0.0675355952673726</v>
      </c>
      <c r="L2">
        <v>1.583789023899167</v>
      </c>
      <c r="M2">
        <v>29.86</v>
      </c>
      <c r="N2">
        <v>14.81</v>
      </c>
    </row>
    <row r="3" spans="1:14">
      <c r="A3" s="1" t="s">
        <v>15</v>
      </c>
      <c r="B3">
        <f>HYPERLINK("https://www.suredividend.com/sure-analysis-research-database/","Amylyx Pharmaceuticals Inc")</f>
        <v>0</v>
      </c>
      <c r="C3" t="s">
        <v>1921</v>
      </c>
      <c r="D3">
        <v>35.58</v>
      </c>
      <c r="E3">
        <v>0</v>
      </c>
      <c r="F3" t="s">
        <v>1921</v>
      </c>
      <c r="G3" t="s">
        <v>1921</v>
      </c>
      <c r="H3">
        <v>0</v>
      </c>
      <c r="I3">
        <v>2357.396236</v>
      </c>
      <c r="J3">
        <v>0</v>
      </c>
      <c r="K3" t="s">
        <v>1921</v>
      </c>
      <c r="M3">
        <v>39.78</v>
      </c>
      <c r="N3">
        <v>6.51</v>
      </c>
    </row>
    <row r="4" spans="1:14">
      <c r="A4" s="1" t="s">
        <v>16</v>
      </c>
      <c r="B4">
        <f>HYPERLINK("https://www.suredividend.com/sure-analysis-research-database/","AMN Healthcare Services Inc.")</f>
        <v>0</v>
      </c>
      <c r="C4" t="s">
        <v>1922</v>
      </c>
      <c r="D4">
        <v>109.26</v>
      </c>
      <c r="E4">
        <v>0</v>
      </c>
      <c r="F4" t="s">
        <v>1921</v>
      </c>
      <c r="G4" t="s">
        <v>1921</v>
      </c>
      <c r="H4">
        <v>0</v>
      </c>
      <c r="I4">
        <v>4734.881636</v>
      </c>
      <c r="J4">
        <v>9.895879858423728</v>
      </c>
      <c r="K4">
        <v>0</v>
      </c>
      <c r="L4">
        <v>0.7999467558948991</v>
      </c>
      <c r="M4">
        <v>129.04</v>
      </c>
      <c r="N4">
        <v>82.76000000000001</v>
      </c>
    </row>
    <row r="5" spans="1:14">
      <c r="A5" s="1" t="s">
        <v>17</v>
      </c>
      <c r="B5">
        <f>HYPERLINK("https://www.suredividend.com/sure-analysis-research-database/","American National Bankshares Inc.")</f>
        <v>0</v>
      </c>
      <c r="C5" t="s">
        <v>1923</v>
      </c>
      <c r="D5">
        <v>36</v>
      </c>
      <c r="E5">
        <v>0.031293433751681</v>
      </c>
      <c r="F5">
        <v>0.0714285714285714</v>
      </c>
      <c r="G5">
        <v>0.03713728933664817</v>
      </c>
      <c r="H5">
        <v>1.126563615060544</v>
      </c>
      <c r="I5">
        <v>381.987468</v>
      </c>
      <c r="J5">
        <v>10.13551974103163</v>
      </c>
      <c r="K5">
        <v>0.3200464815512909</v>
      </c>
      <c r="L5">
        <v>0.4898017410746081</v>
      </c>
      <c r="M5">
        <v>38.81</v>
      </c>
      <c r="N5">
        <v>31.37</v>
      </c>
    </row>
    <row r="6" spans="1:14">
      <c r="A6" s="1" t="s">
        <v>18</v>
      </c>
      <c r="B6">
        <f>HYPERLINK("https://www.suredividend.com/sure-analysis-research-database/","Allied Motion Technologies Inc")</f>
        <v>0</v>
      </c>
      <c r="C6" t="s">
        <v>1920</v>
      </c>
      <c r="D6">
        <v>37.12</v>
      </c>
      <c r="E6">
        <v>0.00269093576267</v>
      </c>
      <c r="F6">
        <v>0</v>
      </c>
      <c r="G6">
        <v>0</v>
      </c>
      <c r="H6">
        <v>0.099887535510345</v>
      </c>
      <c r="I6">
        <v>589.829413</v>
      </c>
      <c r="J6">
        <v>0</v>
      </c>
      <c r="K6" t="s">
        <v>1921</v>
      </c>
      <c r="L6">
        <v>1.11449064179161</v>
      </c>
      <c r="M6">
        <v>39.87</v>
      </c>
      <c r="N6">
        <v>21.11</v>
      </c>
    </row>
    <row r="7" spans="1:14">
      <c r="A7" s="1" t="s">
        <v>19</v>
      </c>
      <c r="B7">
        <f>HYPERLINK("https://www.suredividend.com/sure-analysis-research-database/","Ampio Pharmaceuticals Inc")</f>
        <v>0</v>
      </c>
      <c r="C7" t="s">
        <v>1922</v>
      </c>
      <c r="D7">
        <v>0.3009</v>
      </c>
      <c r="E7">
        <v>0</v>
      </c>
      <c r="F7" t="s">
        <v>1921</v>
      </c>
      <c r="G7" t="s">
        <v>1921</v>
      </c>
      <c r="H7">
        <v>0</v>
      </c>
      <c r="I7">
        <v>68.089718</v>
      </c>
      <c r="J7">
        <v>0</v>
      </c>
      <c r="K7" t="s">
        <v>1921</v>
      </c>
      <c r="M7">
        <v>0.66</v>
      </c>
      <c r="N7">
        <v>0.0577</v>
      </c>
    </row>
    <row r="8" spans="1:14">
      <c r="A8" s="1" t="s">
        <v>20</v>
      </c>
      <c r="B8">
        <f>HYPERLINK("https://www.suredividend.com/sure-analysis-research-database/","Amphastar Pharmaceuticals Inc")</f>
        <v>0</v>
      </c>
      <c r="C8" t="s">
        <v>1922</v>
      </c>
      <c r="D8">
        <v>28.04</v>
      </c>
      <c r="E8">
        <v>0</v>
      </c>
      <c r="F8" t="s">
        <v>1921</v>
      </c>
      <c r="G8" t="s">
        <v>1921</v>
      </c>
      <c r="H8">
        <v>0</v>
      </c>
      <c r="I8">
        <v>1355.206455</v>
      </c>
      <c r="J8">
        <v>17.5469871096552</v>
      </c>
      <c r="K8">
        <v>0</v>
      </c>
      <c r="L8">
        <v>0.469924311239114</v>
      </c>
      <c r="M8">
        <v>44.46</v>
      </c>
      <c r="N8">
        <v>22.07</v>
      </c>
    </row>
    <row r="9" spans="1:14">
      <c r="A9" s="1" t="s">
        <v>21</v>
      </c>
      <c r="B9">
        <f>HYPERLINK("https://www.suredividend.com/sure-analysis-research-database/","Ameresco Inc.")</f>
        <v>0</v>
      </c>
      <c r="C9" t="s">
        <v>1924</v>
      </c>
      <c r="D9">
        <v>56.56</v>
      </c>
      <c r="E9">
        <v>0</v>
      </c>
      <c r="F9" t="s">
        <v>1921</v>
      </c>
      <c r="G9" t="s">
        <v>1921</v>
      </c>
      <c r="H9">
        <v>0</v>
      </c>
      <c r="I9">
        <v>1918.186756</v>
      </c>
      <c r="J9">
        <v>0</v>
      </c>
      <c r="K9" t="s">
        <v>1921</v>
      </c>
      <c r="L9">
        <v>1.720416717088485</v>
      </c>
      <c r="M9">
        <v>86.73</v>
      </c>
      <c r="N9">
        <v>40.73</v>
      </c>
    </row>
    <row r="10" spans="1:14">
      <c r="A10" s="1" t="s">
        <v>22</v>
      </c>
      <c r="B10">
        <f>HYPERLINK("https://www.suredividend.com/sure-analysis-research-database/","A-Mark Precious Metals Inc")</f>
        <v>0</v>
      </c>
      <c r="C10" t="s">
        <v>1923</v>
      </c>
      <c r="D10">
        <v>36.89</v>
      </c>
      <c r="E10">
        <v>0.005421523528875</v>
      </c>
      <c r="F10" t="s">
        <v>1921</v>
      </c>
      <c r="G10" t="s">
        <v>1921</v>
      </c>
      <c r="H10">
        <v>0.200000002980232</v>
      </c>
      <c r="I10">
        <v>865.193676</v>
      </c>
      <c r="J10">
        <v>0</v>
      </c>
      <c r="K10" t="s">
        <v>1921</v>
      </c>
      <c r="L10">
        <v>1.047811464441183</v>
      </c>
      <c r="M10">
        <v>42.8</v>
      </c>
      <c r="N10">
        <v>23.55</v>
      </c>
    </row>
    <row r="11" spans="1:14">
      <c r="A11" s="1" t="s">
        <v>23</v>
      </c>
      <c r="B11">
        <f>HYPERLINK("https://www.suredividend.com/sure-analysis-research-database/","Amyris Inc")</f>
        <v>0</v>
      </c>
      <c r="C11" t="s">
        <v>1925</v>
      </c>
      <c r="D11">
        <v>1.46</v>
      </c>
      <c r="E11">
        <v>0</v>
      </c>
      <c r="F11" t="s">
        <v>1921</v>
      </c>
      <c r="G11" t="s">
        <v>1921</v>
      </c>
      <c r="H11">
        <v>0</v>
      </c>
      <c r="I11">
        <v>482.031382</v>
      </c>
      <c r="J11">
        <v>0</v>
      </c>
      <c r="K11" t="s">
        <v>1921</v>
      </c>
      <c r="L11">
        <v>3.222828132307023</v>
      </c>
      <c r="M11">
        <v>5.58</v>
      </c>
      <c r="N11">
        <v>1.25</v>
      </c>
    </row>
    <row r="12" spans="1:14">
      <c r="A12" s="1" t="s">
        <v>24</v>
      </c>
      <c r="B12">
        <f>HYPERLINK("https://www.suredividend.com/sure-analysis-research-database/","Amneal Pharmaceuticals Inc")</f>
        <v>0</v>
      </c>
      <c r="C12" t="s">
        <v>1922</v>
      </c>
      <c r="D12">
        <v>2.2</v>
      </c>
      <c r="E12">
        <v>0</v>
      </c>
      <c r="F12" t="s">
        <v>1921</v>
      </c>
      <c r="G12" t="s">
        <v>1921</v>
      </c>
      <c r="H12">
        <v>0</v>
      </c>
      <c r="I12">
        <v>333.246736</v>
      </c>
      <c r="J12" t="s">
        <v>1921</v>
      </c>
      <c r="K12">
        <v>-0</v>
      </c>
      <c r="L12">
        <v>0.9615803856302291</v>
      </c>
      <c r="M12">
        <v>4.98</v>
      </c>
      <c r="N12">
        <v>1.95</v>
      </c>
    </row>
    <row r="13" spans="1:14">
      <c r="A13" s="1" t="s">
        <v>25</v>
      </c>
      <c r="B13">
        <f>HYPERLINK("https://www.suredividend.com/sure-analysis-research-database/","American Superconductor Corp.")</f>
        <v>0</v>
      </c>
      <c r="C13" t="s">
        <v>1924</v>
      </c>
      <c r="D13">
        <v>3.87</v>
      </c>
      <c r="E13">
        <v>0</v>
      </c>
      <c r="F13" t="s">
        <v>1921</v>
      </c>
      <c r="G13" t="s">
        <v>1921</v>
      </c>
      <c r="H13">
        <v>0</v>
      </c>
      <c r="I13">
        <v>113.157755</v>
      </c>
      <c r="J13" t="s">
        <v>1921</v>
      </c>
      <c r="K13">
        <v>-0</v>
      </c>
      <c r="L13">
        <v>1.650771320598802</v>
      </c>
      <c r="M13">
        <v>10.17</v>
      </c>
      <c r="N13">
        <v>3.2</v>
      </c>
    </row>
    <row r="14" spans="1:14">
      <c r="A14" s="1" t="s">
        <v>26</v>
      </c>
      <c r="B14">
        <f>HYPERLINK("https://www.suredividend.com/sure-analysis-research-database/","Amerisafe Inc")</f>
        <v>0</v>
      </c>
      <c r="C14" t="s">
        <v>1923</v>
      </c>
      <c r="D14">
        <v>51.36</v>
      </c>
      <c r="E14">
        <v>0.023934709069078</v>
      </c>
      <c r="F14">
        <v>11.90322580645161</v>
      </c>
      <c r="G14">
        <v>0.7411011265922482</v>
      </c>
      <c r="H14">
        <v>1.229286657787854</v>
      </c>
      <c r="I14">
        <v>983.845637</v>
      </c>
      <c r="J14">
        <v>25.64435389756288</v>
      </c>
      <c r="K14">
        <v>0.620851847367603</v>
      </c>
      <c r="L14">
        <v>0.494164675338653</v>
      </c>
      <c r="M14">
        <v>60.17</v>
      </c>
      <c r="N14">
        <v>42.99</v>
      </c>
    </row>
    <row r="15" spans="1:14">
      <c r="A15" s="1" t="s">
        <v>27</v>
      </c>
      <c r="B15">
        <f>HYPERLINK("https://www.suredividend.com/sure-analysis-research-database/","American Software Inc.")</f>
        <v>0</v>
      </c>
      <c r="C15" t="s">
        <v>1920</v>
      </c>
      <c r="D15">
        <v>14.84</v>
      </c>
      <c r="E15">
        <v>0.029371015997835</v>
      </c>
      <c r="F15">
        <v>0</v>
      </c>
      <c r="G15">
        <v>0</v>
      </c>
      <c r="H15">
        <v>0.435865877407879</v>
      </c>
      <c r="I15">
        <v>473.675927</v>
      </c>
      <c r="J15">
        <v>0</v>
      </c>
      <c r="K15" t="s">
        <v>1921</v>
      </c>
      <c r="L15">
        <v>1.016364204692226</v>
      </c>
      <c r="M15">
        <v>25.1</v>
      </c>
      <c r="N15">
        <v>13.39</v>
      </c>
    </row>
    <row r="16" spans="1:14">
      <c r="A16" s="1" t="s">
        <v>28</v>
      </c>
      <c r="B16">
        <f>HYPERLINK("https://www.suredividend.com/sure-analysis-research-database/","Amerant Bancorp Inc")</f>
        <v>0</v>
      </c>
      <c r="C16" t="s">
        <v>1923</v>
      </c>
      <c r="D16">
        <v>27.15</v>
      </c>
      <c r="E16">
        <v>0.013198748749103</v>
      </c>
      <c r="F16" t="s">
        <v>1921</v>
      </c>
      <c r="G16" t="s">
        <v>1921</v>
      </c>
      <c r="H16">
        <v>0.358346028538155</v>
      </c>
      <c r="I16">
        <v>916.972435</v>
      </c>
      <c r="J16">
        <v>0</v>
      </c>
      <c r="K16" t="s">
        <v>1921</v>
      </c>
      <c r="L16">
        <v>0.6687970065823511</v>
      </c>
      <c r="M16">
        <v>35.71</v>
      </c>
      <c r="N16">
        <v>24.34</v>
      </c>
    </row>
    <row r="17" spans="1:14">
      <c r="A17" s="1" t="s">
        <v>29</v>
      </c>
      <c r="B17">
        <f>HYPERLINK("https://www.suredividend.com/sure-analysis-research-database/","Applied Molecular Transport Inc")</f>
        <v>0</v>
      </c>
      <c r="C17" t="s">
        <v>1921</v>
      </c>
      <c r="D17">
        <v>0.501</v>
      </c>
      <c r="E17">
        <v>0</v>
      </c>
      <c r="F17" t="s">
        <v>1921</v>
      </c>
      <c r="G17" t="s">
        <v>1921</v>
      </c>
      <c r="H17">
        <v>0</v>
      </c>
      <c r="I17">
        <v>19.510492</v>
      </c>
      <c r="J17">
        <v>0</v>
      </c>
      <c r="K17" t="s">
        <v>1921</v>
      </c>
      <c r="L17">
        <v>1.698263129113439</v>
      </c>
      <c r="M17">
        <v>12.98</v>
      </c>
      <c r="N17">
        <v>0.3299</v>
      </c>
    </row>
    <row r="18" spans="1:14">
      <c r="A18" s="1" t="s">
        <v>30</v>
      </c>
      <c r="B18">
        <f>HYPERLINK("https://www.suredividend.com/sure-analysis-research-database/","Aemetis Inc")</f>
        <v>0</v>
      </c>
      <c r="C18" t="s">
        <v>1926</v>
      </c>
      <c r="D18">
        <v>4.08</v>
      </c>
      <c r="E18">
        <v>0</v>
      </c>
      <c r="F18" t="s">
        <v>1921</v>
      </c>
      <c r="G18" t="s">
        <v>1921</v>
      </c>
      <c r="H18">
        <v>0</v>
      </c>
      <c r="I18">
        <v>142.979018</v>
      </c>
      <c r="J18">
        <v>0</v>
      </c>
      <c r="K18" t="s">
        <v>1921</v>
      </c>
      <c r="L18">
        <v>2.345437860576805</v>
      </c>
      <c r="M18">
        <v>16.06</v>
      </c>
      <c r="N18">
        <v>3.62</v>
      </c>
    </row>
    <row r="19" spans="1:14">
      <c r="A19" s="1" t="s">
        <v>31</v>
      </c>
      <c r="B19">
        <f>HYPERLINK("https://www.suredividend.com/sure-analysis-research-database/","American Woodmark Corp.")</f>
        <v>0</v>
      </c>
      <c r="C19" t="s">
        <v>1927</v>
      </c>
      <c r="D19">
        <v>51.34</v>
      </c>
      <c r="E19">
        <v>0</v>
      </c>
      <c r="F19" t="s">
        <v>1921</v>
      </c>
      <c r="G19" t="s">
        <v>1921</v>
      </c>
      <c r="H19">
        <v>0</v>
      </c>
      <c r="I19">
        <v>853.364598</v>
      </c>
      <c r="J19">
        <v>60.43230636498832</v>
      </c>
      <c r="K19">
        <v>0</v>
      </c>
      <c r="L19">
        <v>1.178508874472952</v>
      </c>
      <c r="M19">
        <v>66.65000000000001</v>
      </c>
      <c r="N19">
        <v>40.7</v>
      </c>
    </row>
    <row r="20" spans="1:14">
      <c r="A20" s="1" t="s">
        <v>32</v>
      </c>
      <c r="B20">
        <f>HYPERLINK("https://www.suredividend.com/sure-analysis-research-database/","American Well Corporation")</f>
        <v>0</v>
      </c>
      <c r="C20" t="s">
        <v>1921</v>
      </c>
      <c r="D20">
        <v>3.38</v>
      </c>
      <c r="E20">
        <v>0</v>
      </c>
      <c r="F20" t="s">
        <v>1921</v>
      </c>
      <c r="G20" t="s">
        <v>1921</v>
      </c>
      <c r="H20">
        <v>0</v>
      </c>
      <c r="I20">
        <v>819.527252</v>
      </c>
      <c r="J20">
        <v>0</v>
      </c>
      <c r="K20" t="s">
        <v>1921</v>
      </c>
      <c r="L20">
        <v>1.536432101676994</v>
      </c>
      <c r="M20">
        <v>5.43</v>
      </c>
      <c r="N20">
        <v>2.52</v>
      </c>
    </row>
    <row r="21" spans="1:14">
      <c r="A21" s="1" t="s">
        <v>33</v>
      </c>
      <c r="B21">
        <f>HYPERLINK("https://www.suredividend.com/sure-analysis-research-database/","AnaptysBio Inc")</f>
        <v>0</v>
      </c>
      <c r="C21" t="s">
        <v>1922</v>
      </c>
      <c r="D21">
        <v>22.01</v>
      </c>
      <c r="E21">
        <v>0</v>
      </c>
      <c r="F21" t="s">
        <v>1921</v>
      </c>
      <c r="G21" t="s">
        <v>1921</v>
      </c>
      <c r="H21">
        <v>0</v>
      </c>
      <c r="I21">
        <v>625.78022</v>
      </c>
      <c r="J21" t="s">
        <v>1921</v>
      </c>
      <c r="K21">
        <v>-0</v>
      </c>
      <c r="L21">
        <v>0.8792506481387931</v>
      </c>
      <c r="M21">
        <v>35.7</v>
      </c>
      <c r="N21">
        <v>18.2</v>
      </c>
    </row>
    <row r="22" spans="1:14">
      <c r="A22" s="1" t="s">
        <v>34</v>
      </c>
      <c r="B22">
        <f>HYPERLINK("https://www.suredividend.com/sure-analysis-research-database/","American National Group Inc")</f>
        <v>0</v>
      </c>
      <c r="C22" t="s">
        <v>1923</v>
      </c>
      <c r="D22">
        <v>190.02</v>
      </c>
      <c r="E22">
        <v>0</v>
      </c>
      <c r="F22" t="s">
        <v>1921</v>
      </c>
      <c r="G22" t="s">
        <v>1921</v>
      </c>
      <c r="H22">
        <v>2.459999978542328</v>
      </c>
      <c r="I22">
        <v>0</v>
      </c>
      <c r="J22">
        <v>0</v>
      </c>
      <c r="K22">
        <v>0.1036662443549232</v>
      </c>
    </row>
    <row r="23" spans="1:14">
      <c r="A23" s="1" t="s">
        <v>35</v>
      </c>
      <c r="B23">
        <f>HYPERLINK("https://www.suredividend.com/sure-analysis-ANDE/","Andersons Inc.")</f>
        <v>0</v>
      </c>
      <c r="C23" t="s">
        <v>1928</v>
      </c>
      <c r="D23">
        <v>34.07</v>
      </c>
      <c r="E23">
        <v>0.02171998825946581</v>
      </c>
      <c r="F23">
        <v>0.0277777777777779</v>
      </c>
      <c r="G23">
        <v>0.02314587308046168</v>
      </c>
      <c r="H23">
        <v>0.719106123364027</v>
      </c>
      <c r="I23">
        <v>1141.44428</v>
      </c>
      <c r="J23">
        <v>7.524451739508761</v>
      </c>
      <c r="K23">
        <v>0.1630626130077159</v>
      </c>
      <c r="L23">
        <v>0.559789045239736</v>
      </c>
      <c r="M23">
        <v>58.03</v>
      </c>
      <c r="N23">
        <v>29.03</v>
      </c>
    </row>
    <row r="24" spans="1:14">
      <c r="A24" s="1" t="s">
        <v>36</v>
      </c>
      <c r="B24">
        <f>HYPERLINK("https://www.suredividend.com/sure-analysis-research-database/","Abercrombie &amp; Fitch Co.")</f>
        <v>0</v>
      </c>
      <c r="C24" t="s">
        <v>1927</v>
      </c>
      <c r="D24">
        <v>27.4</v>
      </c>
      <c r="E24">
        <v>0</v>
      </c>
      <c r="F24" t="s">
        <v>1921</v>
      </c>
      <c r="G24" t="s">
        <v>1921</v>
      </c>
      <c r="H24">
        <v>0</v>
      </c>
      <c r="I24">
        <v>1342.647731</v>
      </c>
      <c r="J24">
        <v>44.7668621899173</v>
      </c>
      <c r="K24">
        <v>0</v>
      </c>
      <c r="L24">
        <v>1.390781760497308</v>
      </c>
      <c r="M24">
        <v>42.09</v>
      </c>
      <c r="N24">
        <v>14.02</v>
      </c>
    </row>
    <row r="25" spans="1:14">
      <c r="A25" s="1" t="s">
        <v>37</v>
      </c>
      <c r="B25">
        <f>HYPERLINK("https://www.suredividend.com/sure-analysis-research-database/","Angion Biomedica Corp")</f>
        <v>0</v>
      </c>
      <c r="C25" t="s">
        <v>1921</v>
      </c>
      <c r="D25">
        <v>0.9596</v>
      </c>
      <c r="E25">
        <v>0</v>
      </c>
      <c r="F25" t="s">
        <v>1921</v>
      </c>
      <c r="G25" t="s">
        <v>1921</v>
      </c>
      <c r="H25">
        <v>0</v>
      </c>
      <c r="I25">
        <v>28.89676</v>
      </c>
      <c r="J25">
        <v>0</v>
      </c>
      <c r="K25" t="s">
        <v>1921</v>
      </c>
      <c r="L25">
        <v>1.179126031309945</v>
      </c>
      <c r="M25">
        <v>2.95</v>
      </c>
      <c r="N25">
        <v>0.74</v>
      </c>
    </row>
    <row r="26" spans="1:14">
      <c r="A26" s="1" t="s">
        <v>38</v>
      </c>
      <c r="B26">
        <f>HYPERLINK("https://www.suredividend.com/sure-analysis-research-database/","Angiodynamic Inc")</f>
        <v>0</v>
      </c>
      <c r="C26" t="s">
        <v>1922</v>
      </c>
      <c r="D26">
        <v>14.57</v>
      </c>
      <c r="E26">
        <v>0</v>
      </c>
      <c r="F26" t="s">
        <v>1921</v>
      </c>
      <c r="G26" t="s">
        <v>1921</v>
      </c>
      <c r="H26">
        <v>0</v>
      </c>
      <c r="I26">
        <v>570.184478</v>
      </c>
      <c r="J26" t="s">
        <v>1921</v>
      </c>
      <c r="K26">
        <v>-0</v>
      </c>
      <c r="L26">
        <v>0.9372640054619271</v>
      </c>
      <c r="M26">
        <v>24.87</v>
      </c>
      <c r="N26">
        <v>11.71</v>
      </c>
    </row>
    <row r="27" spans="1:14">
      <c r="A27" s="1" t="s">
        <v>39</v>
      </c>
      <c r="B27">
        <f>HYPERLINK("https://www.suredividend.com/sure-analysis-research-database/","Anika Therapeutics Inc.")</f>
        <v>0</v>
      </c>
      <c r="C27" t="s">
        <v>1922</v>
      </c>
      <c r="D27">
        <v>30.03</v>
      </c>
      <c r="E27">
        <v>0</v>
      </c>
      <c r="F27" t="s">
        <v>1921</v>
      </c>
      <c r="G27" t="s">
        <v>1921</v>
      </c>
      <c r="H27">
        <v>0</v>
      </c>
      <c r="I27">
        <v>438.72836</v>
      </c>
      <c r="J27" t="s">
        <v>1921</v>
      </c>
      <c r="K27">
        <v>-0</v>
      </c>
      <c r="L27">
        <v>0.7254482917861721</v>
      </c>
      <c r="M27">
        <v>35.51</v>
      </c>
      <c r="N27">
        <v>19.95</v>
      </c>
    </row>
    <row r="28" spans="1:14">
      <c r="A28" s="1" t="s">
        <v>40</v>
      </c>
      <c r="B28">
        <f>HYPERLINK("https://www.suredividend.com/sure-analysis-research-database/","ANI Pharmaceuticals Inc")</f>
        <v>0</v>
      </c>
      <c r="C28" t="s">
        <v>1922</v>
      </c>
      <c r="D28">
        <v>42.25</v>
      </c>
      <c r="E28">
        <v>0</v>
      </c>
      <c r="F28" t="s">
        <v>1921</v>
      </c>
      <c r="G28" t="s">
        <v>1921</v>
      </c>
      <c r="H28">
        <v>0</v>
      </c>
      <c r="I28">
        <v>737.423261</v>
      </c>
      <c r="J28" t="s">
        <v>1921</v>
      </c>
      <c r="K28">
        <v>-0</v>
      </c>
      <c r="L28">
        <v>0.8364919947685021</v>
      </c>
      <c r="M28">
        <v>45.05</v>
      </c>
      <c r="N28">
        <v>22.31</v>
      </c>
    </row>
    <row r="29" spans="1:14">
      <c r="A29" s="1" t="s">
        <v>41</v>
      </c>
      <c r="B29">
        <f>HYPERLINK("https://www.suredividend.com/sure-analysis-research-database/","Annexon Inc")</f>
        <v>0</v>
      </c>
      <c r="C29" t="s">
        <v>1921</v>
      </c>
      <c r="D29">
        <v>4.67</v>
      </c>
      <c r="E29">
        <v>0</v>
      </c>
      <c r="F29" t="s">
        <v>1921</v>
      </c>
      <c r="G29" t="s">
        <v>1921</v>
      </c>
      <c r="H29">
        <v>0</v>
      </c>
      <c r="I29">
        <v>222.433935</v>
      </c>
      <c r="J29">
        <v>0</v>
      </c>
      <c r="K29" t="s">
        <v>1921</v>
      </c>
      <c r="L29">
        <v>1.064378482787602</v>
      </c>
      <c r="M29">
        <v>9.44</v>
      </c>
      <c r="N29">
        <v>2.06</v>
      </c>
    </row>
    <row r="30" spans="1:14">
      <c r="A30" s="1" t="s">
        <v>42</v>
      </c>
      <c r="B30">
        <f>HYPERLINK("https://www.suredividend.com/sure-analysis-research-database/","Angel Oak Mortgage Inc")</f>
        <v>0</v>
      </c>
      <c r="C30" t="s">
        <v>1921</v>
      </c>
      <c r="D30">
        <v>6.73</v>
      </c>
      <c r="E30">
        <v>0.235633341433866</v>
      </c>
      <c r="F30" t="s">
        <v>1921</v>
      </c>
      <c r="G30" t="s">
        <v>1921</v>
      </c>
      <c r="H30">
        <v>1.585812387849922</v>
      </c>
      <c r="I30">
        <v>167.824328</v>
      </c>
      <c r="J30">
        <v>0</v>
      </c>
      <c r="K30" t="s">
        <v>1921</v>
      </c>
      <c r="L30">
        <v>0.8749336227310001</v>
      </c>
      <c r="M30">
        <v>15.82</v>
      </c>
      <c r="N30">
        <v>4.43</v>
      </c>
    </row>
    <row r="31" spans="1:14">
      <c r="A31" s="1" t="s">
        <v>43</v>
      </c>
      <c r="B31">
        <f>HYPERLINK("https://www.suredividend.com/sure-analysis-research-database/","Artivion Inc")</f>
        <v>0</v>
      </c>
      <c r="C31" t="s">
        <v>1921</v>
      </c>
      <c r="D31">
        <v>12.39</v>
      </c>
      <c r="E31">
        <v>0</v>
      </c>
      <c r="F31" t="s">
        <v>1921</v>
      </c>
      <c r="G31" t="s">
        <v>1921</v>
      </c>
      <c r="H31">
        <v>0</v>
      </c>
      <c r="I31">
        <v>499.68227</v>
      </c>
      <c r="J31" t="s">
        <v>1921</v>
      </c>
      <c r="K31">
        <v>-0</v>
      </c>
      <c r="L31">
        <v>1.139768289242923</v>
      </c>
      <c r="M31">
        <v>23.43</v>
      </c>
      <c r="N31">
        <v>9.640000000000001</v>
      </c>
    </row>
    <row r="32" spans="1:14">
      <c r="A32" s="1" t="s">
        <v>44</v>
      </c>
      <c r="B32">
        <f>HYPERLINK("https://www.suredividend.com/sure-analysis-research-database/","Alpha &amp; Omega Semiconductor Ltd")</f>
        <v>0</v>
      </c>
      <c r="C32" t="s">
        <v>1920</v>
      </c>
      <c r="D32">
        <v>29.61</v>
      </c>
      <c r="E32">
        <v>0</v>
      </c>
      <c r="F32" t="s">
        <v>1921</v>
      </c>
      <c r="G32" t="s">
        <v>1921</v>
      </c>
      <c r="H32">
        <v>0</v>
      </c>
      <c r="I32">
        <v>811.5501400000001</v>
      </c>
      <c r="J32">
        <v>0</v>
      </c>
      <c r="K32" t="s">
        <v>1921</v>
      </c>
      <c r="L32">
        <v>2.14082137669181</v>
      </c>
      <c r="M32">
        <v>69.98999999999999</v>
      </c>
      <c r="N32">
        <v>27.38</v>
      </c>
    </row>
    <row r="33" spans="1:14">
      <c r="A33" s="1" t="s">
        <v>45</v>
      </c>
      <c r="B33">
        <f>HYPERLINK("https://www.suredividend.com/sure-analysis-research-database/","American Outdoor Brands Inc")</f>
        <v>0</v>
      </c>
      <c r="C33" t="s">
        <v>1921</v>
      </c>
      <c r="D33">
        <v>10.69</v>
      </c>
      <c r="E33">
        <v>0</v>
      </c>
      <c r="F33" t="s">
        <v>1921</v>
      </c>
      <c r="G33" t="s">
        <v>1921</v>
      </c>
      <c r="H33">
        <v>0</v>
      </c>
      <c r="I33">
        <v>142.496353</v>
      </c>
      <c r="J33">
        <v>0</v>
      </c>
      <c r="K33" t="s">
        <v>1921</v>
      </c>
      <c r="L33">
        <v>0.7843629246588091</v>
      </c>
      <c r="M33">
        <v>18.36</v>
      </c>
      <c r="N33">
        <v>7.1</v>
      </c>
    </row>
    <row r="34" spans="1:14">
      <c r="A34" s="1" t="s">
        <v>46</v>
      </c>
      <c r="B34">
        <f>HYPERLINK("https://www.suredividend.com/sure-analysis-APAM/","Artisan Partners Asset Management Inc")</f>
        <v>0</v>
      </c>
      <c r="C34" t="s">
        <v>1923</v>
      </c>
      <c r="D34">
        <v>33.25</v>
      </c>
      <c r="E34">
        <v>0.06736842105263159</v>
      </c>
      <c r="F34">
        <v>-0.2222222222222221</v>
      </c>
      <c r="G34">
        <v>0</v>
      </c>
      <c r="H34">
        <v>3.543330831244548</v>
      </c>
      <c r="I34">
        <v>2258.042645</v>
      </c>
      <c r="J34">
        <v>10.6370955589316</v>
      </c>
      <c r="K34">
        <v>1.036061646562733</v>
      </c>
      <c r="L34">
        <v>1.15880098000456</v>
      </c>
      <c r="M34">
        <v>44.35</v>
      </c>
      <c r="N34">
        <v>25.24</v>
      </c>
    </row>
    <row r="35" spans="1:14">
      <c r="A35" s="1" t="s">
        <v>47</v>
      </c>
      <c r="B35">
        <f>HYPERLINK("https://www.suredividend.com/sure-analysis-research-database/","American Public Education Inc")</f>
        <v>0</v>
      </c>
      <c r="C35" t="s">
        <v>1928</v>
      </c>
      <c r="D35">
        <v>13.2</v>
      </c>
      <c r="E35">
        <v>0</v>
      </c>
      <c r="F35" t="s">
        <v>1921</v>
      </c>
      <c r="G35" t="s">
        <v>1921</v>
      </c>
      <c r="H35">
        <v>0</v>
      </c>
      <c r="I35">
        <v>249.375403</v>
      </c>
      <c r="J35" t="s">
        <v>1921</v>
      </c>
      <c r="K35">
        <v>-0</v>
      </c>
      <c r="L35">
        <v>0.582277633330149</v>
      </c>
      <c r="M35">
        <v>24.02</v>
      </c>
      <c r="N35">
        <v>7.83</v>
      </c>
    </row>
    <row r="36" spans="1:14">
      <c r="A36" s="1" t="s">
        <v>48</v>
      </c>
      <c r="B36">
        <f>HYPERLINK("https://www.suredividend.com/sure-analysis-research-database/","APi Group Corporation")</f>
        <v>0</v>
      </c>
      <c r="C36" t="s">
        <v>1921</v>
      </c>
      <c r="D36">
        <v>18.95</v>
      </c>
      <c r="E36">
        <v>0</v>
      </c>
      <c r="F36" t="s">
        <v>1921</v>
      </c>
      <c r="G36" t="s">
        <v>1921</v>
      </c>
      <c r="H36">
        <v>0</v>
      </c>
      <c r="I36">
        <v>4432.536134</v>
      </c>
      <c r="J36">
        <v>0</v>
      </c>
      <c r="K36" t="s">
        <v>1921</v>
      </c>
      <c r="L36">
        <v>1.278346418224806</v>
      </c>
      <c r="M36">
        <v>25.69</v>
      </c>
      <c r="N36">
        <v>13.09</v>
      </c>
    </row>
    <row r="37" spans="1:14">
      <c r="A37" s="1" t="s">
        <v>49</v>
      </c>
      <c r="B37">
        <f>HYPERLINK("https://www.suredividend.com/sure-analysis-APLE/","Apple Hospitality REIT Inc")</f>
        <v>0</v>
      </c>
      <c r="C37" t="s">
        <v>1929</v>
      </c>
      <c r="D37">
        <v>15.62</v>
      </c>
      <c r="E37">
        <v>0.04270826131777301</v>
      </c>
      <c r="F37">
        <v>0.1428571428571428</v>
      </c>
      <c r="G37">
        <v>-0.043647500209963</v>
      </c>
      <c r="H37">
        <v>0.667103041783617</v>
      </c>
      <c r="I37">
        <v>3573.115768</v>
      </c>
      <c r="J37">
        <v>22.94665712909565</v>
      </c>
      <c r="K37">
        <v>0.980457145478567</v>
      </c>
      <c r="L37">
        <v>0.9384221227092761</v>
      </c>
      <c r="M37">
        <v>18.03</v>
      </c>
      <c r="N37">
        <v>13.52</v>
      </c>
    </row>
    <row r="38" spans="1:14">
      <c r="A38" s="1" t="s">
        <v>50</v>
      </c>
      <c r="B38">
        <f>HYPERLINK("https://www.suredividend.com/sure-analysis-research-database/","Apellis Pharmaceuticals Inc")</f>
        <v>0</v>
      </c>
      <c r="C38" t="s">
        <v>1922</v>
      </c>
      <c r="D38">
        <v>47.68</v>
      </c>
      <c r="E38">
        <v>0</v>
      </c>
      <c r="F38" t="s">
        <v>1921</v>
      </c>
      <c r="G38" t="s">
        <v>1921</v>
      </c>
      <c r="H38">
        <v>0</v>
      </c>
      <c r="I38">
        <v>5272.242081</v>
      </c>
      <c r="J38">
        <v>0</v>
      </c>
      <c r="K38" t="s">
        <v>1921</v>
      </c>
      <c r="L38">
        <v>0.9867750957542851</v>
      </c>
      <c r="M38">
        <v>70</v>
      </c>
      <c r="N38">
        <v>33.32</v>
      </c>
    </row>
    <row r="39" spans="1:14">
      <c r="A39" s="1" t="s">
        <v>51</v>
      </c>
      <c r="B39">
        <f>HYPERLINK("https://www.suredividend.com/sure-analysis-research-database/","Applied Therapeutics Inc")</f>
        <v>0</v>
      </c>
      <c r="C39" t="s">
        <v>1922</v>
      </c>
      <c r="D39">
        <v>0.9901000000000001</v>
      </c>
      <c r="E39">
        <v>0</v>
      </c>
      <c r="F39" t="s">
        <v>1921</v>
      </c>
      <c r="G39" t="s">
        <v>1921</v>
      </c>
      <c r="H39">
        <v>0</v>
      </c>
      <c r="I39">
        <v>47.583172</v>
      </c>
      <c r="J39">
        <v>0</v>
      </c>
      <c r="K39" t="s">
        <v>1921</v>
      </c>
      <c r="L39">
        <v>1.232723689876366</v>
      </c>
      <c r="M39">
        <v>4.44</v>
      </c>
      <c r="N39">
        <v>0.4995</v>
      </c>
    </row>
    <row r="40" spans="1:14">
      <c r="A40" s="1" t="s">
        <v>52</v>
      </c>
      <c r="B40">
        <f>HYPERLINK("https://www.suredividend.com/sure-analysis-APOG/","Apogee Enterprises Inc.")</f>
        <v>0</v>
      </c>
      <c r="C40" t="s">
        <v>1924</v>
      </c>
      <c r="D40">
        <v>45.04</v>
      </c>
      <c r="E40">
        <v>0.01953818827708704</v>
      </c>
      <c r="F40">
        <v>0.09999999999999987</v>
      </c>
      <c r="G40">
        <v>0.06912485106932209</v>
      </c>
      <c r="H40">
        <v>0.8729597945515981</v>
      </c>
      <c r="I40">
        <v>1000.513606</v>
      </c>
      <c r="J40">
        <v>14.7976514220638</v>
      </c>
      <c r="K40">
        <v>0.2969251001876184</v>
      </c>
      <c r="L40">
        <v>1.016641039210917</v>
      </c>
      <c r="M40">
        <v>49.65</v>
      </c>
      <c r="N40">
        <v>35.57</v>
      </c>
    </row>
    <row r="41" spans="1:14">
      <c r="A41" s="1" t="s">
        <v>53</v>
      </c>
      <c r="B41">
        <f>HYPERLINK("https://www.suredividend.com/sure-analysis-research-database/","Appfolio Inc")</f>
        <v>0</v>
      </c>
      <c r="C41" t="s">
        <v>1920</v>
      </c>
      <c r="D41">
        <v>112.07</v>
      </c>
      <c r="E41">
        <v>0</v>
      </c>
      <c r="F41" t="s">
        <v>1921</v>
      </c>
      <c r="G41" t="s">
        <v>1921</v>
      </c>
      <c r="H41">
        <v>0</v>
      </c>
      <c r="I41">
        <v>2287.874869</v>
      </c>
      <c r="J41" t="s">
        <v>1921</v>
      </c>
      <c r="K41">
        <v>-0</v>
      </c>
      <c r="L41">
        <v>1.014738602700989</v>
      </c>
      <c r="M41">
        <v>127.74</v>
      </c>
      <c r="N41">
        <v>79.92</v>
      </c>
    </row>
    <row r="42" spans="1:14">
      <c r="A42" s="1" t="s">
        <v>54</v>
      </c>
      <c r="B42">
        <f>HYPERLINK("https://www.suredividend.com/sure-analysis-research-database/","AppHarvest Inc")</f>
        <v>0</v>
      </c>
      <c r="C42" t="s">
        <v>1921</v>
      </c>
      <c r="D42">
        <v>0.8737</v>
      </c>
      <c r="E42">
        <v>0</v>
      </c>
      <c r="F42" t="s">
        <v>1921</v>
      </c>
      <c r="G42" t="s">
        <v>1921</v>
      </c>
      <c r="H42">
        <v>0</v>
      </c>
      <c r="I42">
        <v>94.275879</v>
      </c>
      <c r="J42">
        <v>0</v>
      </c>
      <c r="K42" t="s">
        <v>1921</v>
      </c>
      <c r="L42">
        <v>1.008868886145169</v>
      </c>
      <c r="M42">
        <v>7.05</v>
      </c>
      <c r="N42">
        <v>0.4685</v>
      </c>
    </row>
    <row r="43" spans="1:14">
      <c r="A43" s="1" t="s">
        <v>55</v>
      </c>
      <c r="B43">
        <f>HYPERLINK("https://www.suredividend.com/sure-analysis-research-database/","Appian Corp")</f>
        <v>0</v>
      </c>
      <c r="C43" t="s">
        <v>1920</v>
      </c>
      <c r="D43">
        <v>31.28</v>
      </c>
      <c r="E43">
        <v>0</v>
      </c>
      <c r="F43" t="s">
        <v>1921</v>
      </c>
      <c r="G43" t="s">
        <v>1921</v>
      </c>
      <c r="H43">
        <v>0</v>
      </c>
      <c r="I43">
        <v>1280.979655</v>
      </c>
      <c r="J43" t="s">
        <v>1921</v>
      </c>
      <c r="K43">
        <v>-0</v>
      </c>
      <c r="L43">
        <v>1.942432115861272</v>
      </c>
      <c r="M43">
        <v>66.91</v>
      </c>
      <c r="N43">
        <v>29.8</v>
      </c>
    </row>
    <row r="44" spans="1:14">
      <c r="A44" s="1" t="s">
        <v>56</v>
      </c>
      <c r="B44">
        <f>HYPERLINK("https://www.suredividend.com/sure-analysis-research-database/","Digital Turbine Inc")</f>
        <v>0</v>
      </c>
      <c r="C44" t="s">
        <v>1920</v>
      </c>
      <c r="D44">
        <v>15.99</v>
      </c>
      <c r="E44">
        <v>0</v>
      </c>
      <c r="F44" t="s">
        <v>1921</v>
      </c>
      <c r="G44" t="s">
        <v>1921</v>
      </c>
      <c r="H44">
        <v>0</v>
      </c>
      <c r="I44">
        <v>1583.279112</v>
      </c>
      <c r="J44">
        <v>29.48378234078212</v>
      </c>
      <c r="K44">
        <v>0</v>
      </c>
      <c r="L44">
        <v>3.155949382112211</v>
      </c>
      <c r="M44">
        <v>55.74</v>
      </c>
      <c r="N44">
        <v>10.65</v>
      </c>
    </row>
    <row r="45" spans="1:14">
      <c r="A45" s="1" t="s">
        <v>57</v>
      </c>
      <c r="B45">
        <f>HYPERLINK("https://www.suredividend.com/sure-analysis-APTS/","Preferred Apartment Communities Inc")</f>
        <v>0</v>
      </c>
      <c r="C45" t="s">
        <v>1929</v>
      </c>
      <c r="D45">
        <v>25</v>
      </c>
      <c r="E45">
        <v>0.020817931770079</v>
      </c>
      <c r="F45" t="s">
        <v>1921</v>
      </c>
      <c r="G45" t="s">
        <v>1921</v>
      </c>
      <c r="H45">
        <v>0.520448294251993</v>
      </c>
      <c r="I45">
        <v>1611.074075</v>
      </c>
      <c r="J45" t="s">
        <v>1921</v>
      </c>
      <c r="K45" t="s">
        <v>1921</v>
      </c>
      <c r="L45">
        <v>0.182588529607265</v>
      </c>
      <c r="M45">
        <v>25.62</v>
      </c>
      <c r="N45">
        <v>9.32</v>
      </c>
    </row>
    <row r="46" spans="1:14">
      <c r="A46" s="1" t="s">
        <v>58</v>
      </c>
      <c r="B46">
        <f>HYPERLINK("https://www.suredividend.com/sure-analysis-research-database/","Apyx Medical Corp")</f>
        <v>0</v>
      </c>
      <c r="C46" t="s">
        <v>1922</v>
      </c>
      <c r="D46">
        <v>2.45</v>
      </c>
      <c r="E46">
        <v>0</v>
      </c>
      <c r="F46" t="s">
        <v>1921</v>
      </c>
      <c r="G46" t="s">
        <v>1921</v>
      </c>
      <c r="H46">
        <v>0</v>
      </c>
      <c r="I46">
        <v>84.764664</v>
      </c>
      <c r="J46">
        <v>0</v>
      </c>
      <c r="K46" t="s">
        <v>1921</v>
      </c>
      <c r="L46">
        <v>1.075718337604311</v>
      </c>
      <c r="M46">
        <v>13.57</v>
      </c>
      <c r="N46">
        <v>1.31</v>
      </c>
    </row>
    <row r="47" spans="1:14">
      <c r="A47" s="1" t="s">
        <v>59</v>
      </c>
      <c r="B47">
        <f>HYPERLINK("https://www.suredividend.com/sure-analysis-research-database/","AquaBounty Technologies Inc")</f>
        <v>0</v>
      </c>
      <c r="C47" t="s">
        <v>1928</v>
      </c>
      <c r="D47">
        <v>0.7979000000000001</v>
      </c>
      <c r="E47">
        <v>0</v>
      </c>
      <c r="F47" t="s">
        <v>1921</v>
      </c>
      <c r="G47" t="s">
        <v>1921</v>
      </c>
      <c r="H47">
        <v>0</v>
      </c>
      <c r="I47">
        <v>56.739238</v>
      </c>
      <c r="J47">
        <v>0</v>
      </c>
      <c r="K47" t="s">
        <v>1921</v>
      </c>
      <c r="L47">
        <v>1.143716067430872</v>
      </c>
      <c r="M47">
        <v>2.37</v>
      </c>
      <c r="N47">
        <v>0.582</v>
      </c>
    </row>
    <row r="48" spans="1:14">
      <c r="A48" s="1" t="s">
        <v>60</v>
      </c>
      <c r="B48">
        <f>HYPERLINK("https://www.suredividend.com/sure-analysis-research-database/","Evoqua Water Technologies Corp")</f>
        <v>0</v>
      </c>
      <c r="C48" t="s">
        <v>1924</v>
      </c>
      <c r="D48">
        <v>39.72</v>
      </c>
      <c r="E48">
        <v>0</v>
      </c>
      <c r="F48" t="s">
        <v>1921</v>
      </c>
      <c r="G48" t="s">
        <v>1921</v>
      </c>
      <c r="H48">
        <v>0</v>
      </c>
      <c r="I48">
        <v>4841.617685</v>
      </c>
      <c r="J48">
        <v>83.85496007066403</v>
      </c>
      <c r="K48">
        <v>0</v>
      </c>
      <c r="L48">
        <v>1.298104540036678</v>
      </c>
      <c r="M48">
        <v>48.05</v>
      </c>
      <c r="N48">
        <v>30.44</v>
      </c>
    </row>
    <row r="49" spans="1:14">
      <c r="A49" s="1" t="s">
        <v>61</v>
      </c>
      <c r="B49">
        <f>HYPERLINK("https://www.suredividend.com/sure-analysis-research-database/","Antero Resources Corp")</f>
        <v>0</v>
      </c>
      <c r="C49" t="s">
        <v>1926</v>
      </c>
      <c r="D49">
        <v>29.41</v>
      </c>
      <c r="E49">
        <v>0</v>
      </c>
      <c r="F49" t="s">
        <v>1921</v>
      </c>
      <c r="G49" t="s">
        <v>1921</v>
      </c>
      <c r="H49">
        <v>0</v>
      </c>
      <c r="I49">
        <v>8827.012876999999</v>
      </c>
      <c r="J49">
        <v>4.264545851825727</v>
      </c>
      <c r="K49">
        <v>0</v>
      </c>
      <c r="L49">
        <v>1.008618198642094</v>
      </c>
      <c r="M49">
        <v>48.8</v>
      </c>
      <c r="N49">
        <v>15.98</v>
      </c>
    </row>
    <row r="50" spans="1:14">
      <c r="A50" s="1" t="s">
        <v>62</v>
      </c>
      <c r="B50">
        <f>HYPERLINK("https://www.suredividend.com/sure-analysis-research-database/","Accuray Inc")</f>
        <v>0</v>
      </c>
      <c r="C50" t="s">
        <v>1922</v>
      </c>
      <c r="D50">
        <v>2.07</v>
      </c>
      <c r="E50">
        <v>0</v>
      </c>
      <c r="F50" t="s">
        <v>1921</v>
      </c>
      <c r="G50" t="s">
        <v>1921</v>
      </c>
      <c r="H50">
        <v>0</v>
      </c>
      <c r="I50">
        <v>194.122052</v>
      </c>
      <c r="J50" t="s">
        <v>1921</v>
      </c>
      <c r="K50">
        <v>-0</v>
      </c>
      <c r="L50">
        <v>1.156241858751065</v>
      </c>
      <c r="M50">
        <v>4.58</v>
      </c>
      <c r="N50">
        <v>1.7</v>
      </c>
    </row>
    <row r="51" spans="1:14">
      <c r="A51" s="1" t="s">
        <v>63</v>
      </c>
      <c r="B51">
        <f>HYPERLINK("https://www.suredividend.com/sure-analysis-research-database/","ArcBest Corp")</f>
        <v>0</v>
      </c>
      <c r="C51" t="s">
        <v>1924</v>
      </c>
      <c r="D51">
        <v>77.66</v>
      </c>
      <c r="E51">
        <v>0.005644834396108</v>
      </c>
      <c r="F51">
        <v>0.5</v>
      </c>
      <c r="G51">
        <v>0.08447177119769855</v>
      </c>
      <c r="H51">
        <v>0.438377839201766</v>
      </c>
      <c r="I51">
        <v>1896.292561</v>
      </c>
      <c r="J51">
        <v>5.810431918127222</v>
      </c>
      <c r="K51">
        <v>0.03470925092650562</v>
      </c>
      <c r="L51">
        <v>1.523856991789974</v>
      </c>
      <c r="M51">
        <v>100.1</v>
      </c>
      <c r="N51">
        <v>64.76000000000001</v>
      </c>
    </row>
    <row r="52" spans="1:14">
      <c r="A52" s="1" t="s">
        <v>64</v>
      </c>
      <c r="B52">
        <f>HYPERLINK("https://www.suredividend.com/sure-analysis-research-database/","Arch Resources Inc")</f>
        <v>0</v>
      </c>
      <c r="C52" t="s">
        <v>1926</v>
      </c>
      <c r="D52">
        <v>141.24</v>
      </c>
      <c r="E52">
        <v>0.081049952437168</v>
      </c>
      <c r="F52" t="s">
        <v>1921</v>
      </c>
      <c r="G52" t="s">
        <v>1921</v>
      </c>
      <c r="H52">
        <v>11.44749528222567</v>
      </c>
      <c r="I52">
        <v>2554.014672</v>
      </c>
      <c r="J52">
        <v>2.349495764676445</v>
      </c>
      <c r="K52">
        <v>0.2206108167705852</v>
      </c>
      <c r="L52">
        <v>0.6806611701581751</v>
      </c>
      <c r="M52">
        <v>170.44</v>
      </c>
      <c r="N52">
        <v>80.15000000000001</v>
      </c>
    </row>
    <row r="53" spans="1:14">
      <c r="A53" s="1" t="s">
        <v>65</v>
      </c>
      <c r="B53">
        <f>HYPERLINK("https://www.suredividend.com/sure-analysis-research-database/","Arcturus Therapeutics Holdings Inc")</f>
        <v>0</v>
      </c>
      <c r="C53" t="s">
        <v>1922</v>
      </c>
      <c r="D53">
        <v>16.4</v>
      </c>
      <c r="E53">
        <v>0</v>
      </c>
      <c r="F53" t="s">
        <v>1921</v>
      </c>
      <c r="G53" t="s">
        <v>1921</v>
      </c>
      <c r="H53">
        <v>0</v>
      </c>
      <c r="I53">
        <v>435.509921</v>
      </c>
      <c r="J53">
        <v>0</v>
      </c>
      <c r="K53" t="s">
        <v>1921</v>
      </c>
      <c r="L53">
        <v>2.418987212074015</v>
      </c>
      <c r="M53">
        <v>34.51</v>
      </c>
      <c r="N53">
        <v>11.7</v>
      </c>
    </row>
    <row r="54" spans="1:14">
      <c r="A54" s="1" t="s">
        <v>66</v>
      </c>
      <c r="B54">
        <f>HYPERLINK("https://www.suredividend.com/sure-analysis-research-database/","Ardelyx Inc")</f>
        <v>0</v>
      </c>
      <c r="C54" t="s">
        <v>1922</v>
      </c>
      <c r="D54">
        <v>2.72</v>
      </c>
      <c r="E54">
        <v>0</v>
      </c>
      <c r="F54" t="s">
        <v>1921</v>
      </c>
      <c r="G54" t="s">
        <v>1921</v>
      </c>
      <c r="H54">
        <v>0</v>
      </c>
      <c r="I54">
        <v>509.890234</v>
      </c>
      <c r="J54">
        <v>0</v>
      </c>
      <c r="K54" t="s">
        <v>1921</v>
      </c>
      <c r="M54">
        <v>3.05</v>
      </c>
      <c r="N54">
        <v>0.4902</v>
      </c>
    </row>
    <row r="55" spans="1:14">
      <c r="A55" s="1" t="s">
        <v>67</v>
      </c>
      <c r="B55">
        <f>HYPERLINK("https://www.suredividend.com/sure-analysis-research-database/","Argo Group International Holdings Ltd")</f>
        <v>0</v>
      </c>
      <c r="C55" t="s">
        <v>1923</v>
      </c>
      <c r="D55">
        <v>26.81</v>
      </c>
      <c r="E55">
        <v>0.04541584801796</v>
      </c>
      <c r="F55">
        <v>0</v>
      </c>
      <c r="G55">
        <v>0.0280153179958833</v>
      </c>
      <c r="H55">
        <v>1.217598885361515</v>
      </c>
      <c r="I55">
        <v>939.837901</v>
      </c>
      <c r="J55" t="s">
        <v>1921</v>
      </c>
      <c r="K55" t="s">
        <v>1921</v>
      </c>
      <c r="L55">
        <v>0.6420155640895731</v>
      </c>
      <c r="M55">
        <v>57.82</v>
      </c>
      <c r="N55">
        <v>18.78</v>
      </c>
    </row>
    <row r="56" spans="1:14">
      <c r="A56" s="1" t="s">
        <v>68</v>
      </c>
      <c r="B56">
        <f>HYPERLINK("https://www.suredividend.com/sure-analysis-ARI/","Apollo Commercial Real Estate Finance Inc")</f>
        <v>0</v>
      </c>
      <c r="C56" t="s">
        <v>1929</v>
      </c>
      <c r="D56">
        <v>11.09</v>
      </c>
      <c r="E56">
        <v>0.1262398557258792</v>
      </c>
      <c r="F56">
        <v>0</v>
      </c>
      <c r="G56">
        <v>-0.05319173028852708</v>
      </c>
      <c r="H56">
        <v>1.330697498050735</v>
      </c>
      <c r="I56">
        <v>1559.209585</v>
      </c>
      <c r="J56">
        <v>5.373490385019661</v>
      </c>
      <c r="K56">
        <v>0.7351919878733343</v>
      </c>
      <c r="L56">
        <v>1.139968373124188</v>
      </c>
      <c r="M56">
        <v>12.86</v>
      </c>
      <c r="N56">
        <v>7.66</v>
      </c>
    </row>
    <row r="57" spans="1:14">
      <c r="A57" s="1" t="s">
        <v>69</v>
      </c>
      <c r="B57">
        <f>HYPERLINK("https://www.suredividend.com/sure-analysis-research-database/","Aris Water Solutions Inc")</f>
        <v>0</v>
      </c>
      <c r="C57" t="s">
        <v>1921</v>
      </c>
      <c r="D57">
        <v>14.95</v>
      </c>
      <c r="E57">
        <v>0.023896598521514</v>
      </c>
      <c r="F57" t="s">
        <v>1921</v>
      </c>
      <c r="G57" t="s">
        <v>1921</v>
      </c>
      <c r="H57">
        <v>0.357254147896638</v>
      </c>
      <c r="I57">
        <v>396.385242</v>
      </c>
      <c r="J57">
        <v>0</v>
      </c>
      <c r="K57" t="s">
        <v>1921</v>
      </c>
      <c r="L57">
        <v>0.88186611051231</v>
      </c>
      <c r="M57">
        <v>23.34</v>
      </c>
      <c r="N57">
        <v>10.41</v>
      </c>
    </row>
    <row r="58" spans="1:14">
      <c r="A58" s="1" t="s">
        <v>70</v>
      </c>
      <c r="B58">
        <f>HYPERLINK("https://www.suredividend.com/sure-analysis-research-database/","ARKO Corp")</f>
        <v>0</v>
      </c>
      <c r="C58" t="s">
        <v>1921</v>
      </c>
      <c r="D58">
        <v>8.44</v>
      </c>
      <c r="E58">
        <v>0.010625291620622</v>
      </c>
      <c r="F58" t="s">
        <v>1921</v>
      </c>
      <c r="G58" t="s">
        <v>1921</v>
      </c>
      <c r="H58">
        <v>0.08967746127805101</v>
      </c>
      <c r="I58">
        <v>1013.429134</v>
      </c>
      <c r="J58">
        <v>0</v>
      </c>
      <c r="K58" t="s">
        <v>1921</v>
      </c>
      <c r="L58">
        <v>0.7083392563405251</v>
      </c>
      <c r="M58">
        <v>10.77</v>
      </c>
      <c r="N58">
        <v>7.38</v>
      </c>
    </row>
    <row r="59" spans="1:14">
      <c r="A59" s="1" t="s">
        <v>71</v>
      </c>
      <c r="B59">
        <f>HYPERLINK("https://www.suredividend.com/sure-analysis-research-database/","Arlo Technologies Inc")</f>
        <v>0</v>
      </c>
      <c r="C59" t="s">
        <v>1924</v>
      </c>
      <c r="D59">
        <v>3.82</v>
      </c>
      <c r="E59">
        <v>0</v>
      </c>
      <c r="F59" t="s">
        <v>1921</v>
      </c>
      <c r="G59" t="s">
        <v>1921</v>
      </c>
      <c r="H59">
        <v>0</v>
      </c>
      <c r="I59">
        <v>337.96249</v>
      </c>
      <c r="J59">
        <v>0</v>
      </c>
      <c r="K59" t="s">
        <v>1921</v>
      </c>
      <c r="L59">
        <v>1.638367864726552</v>
      </c>
      <c r="M59">
        <v>11.79</v>
      </c>
      <c r="N59">
        <v>2.93</v>
      </c>
    </row>
    <row r="60" spans="1:14">
      <c r="A60" s="1" t="s">
        <v>72</v>
      </c>
      <c r="B60">
        <f>HYPERLINK("https://www.suredividend.com/sure-analysis-research-database/","Arconic Corporation")</f>
        <v>0</v>
      </c>
      <c r="C60" t="s">
        <v>1924</v>
      </c>
      <c r="D60">
        <v>22.55</v>
      </c>
      <c r="E60">
        <v>0</v>
      </c>
      <c r="F60" t="s">
        <v>1921</v>
      </c>
      <c r="G60" t="s">
        <v>1921</v>
      </c>
      <c r="H60">
        <v>0</v>
      </c>
      <c r="I60">
        <v>2288.477505</v>
      </c>
      <c r="J60">
        <v>43.17882083962264</v>
      </c>
      <c r="K60">
        <v>0</v>
      </c>
      <c r="L60">
        <v>1.274635555834966</v>
      </c>
      <c r="M60">
        <v>34.94</v>
      </c>
      <c r="N60">
        <v>16.33</v>
      </c>
    </row>
    <row r="61" spans="1:14">
      <c r="A61" s="1" t="s">
        <v>73</v>
      </c>
      <c r="B61">
        <f>HYPERLINK("https://www.suredividend.com/sure-analysis-research-database/","Archrock Inc")</f>
        <v>0</v>
      </c>
      <c r="C61" t="s">
        <v>1926</v>
      </c>
      <c r="D61">
        <v>9.31</v>
      </c>
      <c r="E61">
        <v>0.060657216494647</v>
      </c>
      <c r="F61">
        <v>0</v>
      </c>
      <c r="G61">
        <v>0.03857377308425858</v>
      </c>
      <c r="H61">
        <v>0.564718685565164</v>
      </c>
      <c r="I61">
        <v>1448.744275</v>
      </c>
      <c r="J61">
        <v>37.47592413730664</v>
      </c>
      <c r="K61">
        <v>2.231207765962719</v>
      </c>
      <c r="L61">
        <v>0.7005896230172081</v>
      </c>
      <c r="M61">
        <v>10.06</v>
      </c>
      <c r="N61">
        <v>6.17</v>
      </c>
    </row>
    <row r="62" spans="1:14">
      <c r="A62" s="1" t="s">
        <v>74</v>
      </c>
      <c r="B62">
        <f>HYPERLINK("https://www.suredividend.com/sure-analysis-AROW/","Arrow Financial Corp.")</f>
        <v>0</v>
      </c>
      <c r="C62" t="s">
        <v>1923</v>
      </c>
      <c r="D62">
        <v>33.48</v>
      </c>
      <c r="E62">
        <v>0.03225806451612904</v>
      </c>
      <c r="F62">
        <v>0</v>
      </c>
      <c r="G62">
        <v>0.007576624052174186</v>
      </c>
      <c r="H62">
        <v>1.046023170342562</v>
      </c>
      <c r="I62">
        <v>553.379503</v>
      </c>
      <c r="J62">
        <v>11.76877359732885</v>
      </c>
      <c r="K62">
        <v>0.3735797036937721</v>
      </c>
      <c r="L62">
        <v>0.5253913003003561</v>
      </c>
      <c r="M62">
        <v>36.22</v>
      </c>
      <c r="N62">
        <v>28.28</v>
      </c>
    </row>
    <row r="63" spans="1:14">
      <c r="A63" s="1" t="s">
        <v>75</v>
      </c>
      <c r="B63">
        <f>HYPERLINK("https://www.suredividend.com/sure-analysis-research-database/","Arcutis Biotherapeutics Inc")</f>
        <v>0</v>
      </c>
      <c r="C63" t="s">
        <v>1922</v>
      </c>
      <c r="D63">
        <v>14.48</v>
      </c>
      <c r="E63">
        <v>0</v>
      </c>
      <c r="F63" t="s">
        <v>1921</v>
      </c>
      <c r="G63" t="s">
        <v>1921</v>
      </c>
      <c r="H63">
        <v>0</v>
      </c>
      <c r="I63">
        <v>882.2348919999999</v>
      </c>
      <c r="J63">
        <v>0</v>
      </c>
      <c r="K63" t="s">
        <v>1921</v>
      </c>
      <c r="L63">
        <v>1.002122531975275</v>
      </c>
      <c r="M63">
        <v>27.4</v>
      </c>
      <c r="N63">
        <v>13.37</v>
      </c>
    </row>
    <row r="64" spans="1:14">
      <c r="A64" s="1" t="s">
        <v>76</v>
      </c>
      <c r="B64">
        <f>HYPERLINK("https://www.suredividend.com/sure-analysis-ARR/","ARMOUR Residential REIT Inc")</f>
        <v>0</v>
      </c>
      <c r="C64" t="s">
        <v>1929</v>
      </c>
      <c r="D64">
        <v>5.86</v>
      </c>
      <c r="E64">
        <v>0.204778156996587</v>
      </c>
      <c r="F64">
        <v>0</v>
      </c>
      <c r="G64">
        <v>0</v>
      </c>
      <c r="H64">
        <v>1.102637163724726</v>
      </c>
      <c r="I64">
        <v>774.340547</v>
      </c>
      <c r="J64" t="s">
        <v>1921</v>
      </c>
      <c r="K64" t="s">
        <v>1921</v>
      </c>
      <c r="L64">
        <v>0.8208018379421721</v>
      </c>
      <c r="M64">
        <v>8.550000000000001</v>
      </c>
      <c r="N64">
        <v>4.15</v>
      </c>
    </row>
    <row r="65" spans="1:14">
      <c r="A65" s="1" t="s">
        <v>77</v>
      </c>
      <c r="B65">
        <f>HYPERLINK("https://www.suredividend.com/sure-analysis-research-database/","Array Technologies Inc")</f>
        <v>0</v>
      </c>
      <c r="C65" t="s">
        <v>1921</v>
      </c>
      <c r="D65">
        <v>19.44</v>
      </c>
      <c r="E65">
        <v>0</v>
      </c>
      <c r="F65" t="s">
        <v>1921</v>
      </c>
      <c r="G65" t="s">
        <v>1921</v>
      </c>
      <c r="H65">
        <v>0</v>
      </c>
      <c r="I65">
        <v>2925.53565</v>
      </c>
      <c r="J65">
        <v>0</v>
      </c>
      <c r="K65" t="s">
        <v>1921</v>
      </c>
      <c r="L65">
        <v>1.77534199974455</v>
      </c>
      <c r="M65">
        <v>24.24</v>
      </c>
      <c r="N65">
        <v>5.45</v>
      </c>
    </row>
    <row r="66" spans="1:14">
      <c r="A66" s="1" t="s">
        <v>78</v>
      </c>
      <c r="B66">
        <f>HYPERLINK("https://www.suredividend.com/sure-analysis-ARTNA/","Artesian Resources Corp.")</f>
        <v>0</v>
      </c>
      <c r="C66" t="s">
        <v>1930</v>
      </c>
      <c r="D66">
        <v>59.61</v>
      </c>
      <c r="E66">
        <v>0.01862103673880222</v>
      </c>
      <c r="F66">
        <v>0.04074766355140191</v>
      </c>
      <c r="G66">
        <v>0.03124857724345942</v>
      </c>
      <c r="H66">
        <v>1.077338490178199</v>
      </c>
      <c r="I66">
        <v>513.214381</v>
      </c>
      <c r="J66">
        <v>27.39627295948326</v>
      </c>
      <c r="K66">
        <v>0.544110348574848</v>
      </c>
      <c r="L66">
        <v>0.354569848837069</v>
      </c>
      <c r="M66">
        <v>61</v>
      </c>
      <c r="N66">
        <v>41.85</v>
      </c>
    </row>
    <row r="67" spans="1:14">
      <c r="A67" s="1" t="s">
        <v>79</v>
      </c>
      <c r="B67">
        <f>HYPERLINK("https://www.suredividend.com/sure-analysis-research-database/","Arvinas Inc")</f>
        <v>0</v>
      </c>
      <c r="C67" t="s">
        <v>1922</v>
      </c>
      <c r="D67">
        <v>28.58</v>
      </c>
      <c r="E67">
        <v>0</v>
      </c>
      <c r="F67" t="s">
        <v>1921</v>
      </c>
      <c r="G67" t="s">
        <v>1921</v>
      </c>
      <c r="H67">
        <v>0</v>
      </c>
      <c r="I67">
        <v>1521.24255</v>
      </c>
      <c r="J67">
        <v>0</v>
      </c>
      <c r="K67" t="s">
        <v>1921</v>
      </c>
      <c r="L67">
        <v>1.558038012302598</v>
      </c>
      <c r="M67">
        <v>81.13</v>
      </c>
      <c r="N67">
        <v>27.01</v>
      </c>
    </row>
    <row r="68" spans="1:14">
      <c r="A68" s="1" t="s">
        <v>80</v>
      </c>
      <c r="B68">
        <f>HYPERLINK("https://www.suredividend.com/sure-analysis-research-database/","Arrowhead Pharmaceuticals Inc.")</f>
        <v>0</v>
      </c>
      <c r="C68" t="s">
        <v>1922</v>
      </c>
      <c r="D68">
        <v>30.28</v>
      </c>
      <c r="E68">
        <v>0</v>
      </c>
      <c r="F68" t="s">
        <v>1921</v>
      </c>
      <c r="G68" t="s">
        <v>1921</v>
      </c>
      <c r="H68">
        <v>0</v>
      </c>
      <c r="I68">
        <v>3209.853262</v>
      </c>
      <c r="J68" t="s">
        <v>1921</v>
      </c>
      <c r="K68">
        <v>-0</v>
      </c>
      <c r="L68">
        <v>1.808786750995026</v>
      </c>
      <c r="M68">
        <v>61.25</v>
      </c>
      <c r="N68">
        <v>26.81</v>
      </c>
    </row>
    <row r="69" spans="1:14">
      <c r="A69" s="1" t="s">
        <v>81</v>
      </c>
      <c r="B69">
        <f>HYPERLINK("https://www.suredividend.com/sure-analysis-research-database/","Asana Inc")</f>
        <v>0</v>
      </c>
      <c r="C69" t="s">
        <v>1921</v>
      </c>
      <c r="D69">
        <v>12.25</v>
      </c>
      <c r="E69">
        <v>0</v>
      </c>
      <c r="F69" t="s">
        <v>1921</v>
      </c>
      <c r="G69" t="s">
        <v>1921</v>
      </c>
      <c r="H69">
        <v>0</v>
      </c>
      <c r="I69">
        <v>2606.482407</v>
      </c>
      <c r="J69" t="s">
        <v>1921</v>
      </c>
      <c r="K69">
        <v>-0</v>
      </c>
      <c r="L69">
        <v>2.775962575755771</v>
      </c>
      <c r="M69">
        <v>74.89</v>
      </c>
      <c r="N69">
        <v>11.32</v>
      </c>
    </row>
    <row r="70" spans="1:14">
      <c r="A70" s="1" t="s">
        <v>82</v>
      </c>
      <c r="B70">
        <f>HYPERLINK("https://www.suredividend.com/sure-analysis-ASB/","Associated Banc-Corp.")</f>
        <v>0</v>
      </c>
      <c r="C70" t="s">
        <v>1923</v>
      </c>
      <c r="D70">
        <v>23.18</v>
      </c>
      <c r="E70">
        <v>0.03451251078515962</v>
      </c>
      <c r="F70">
        <v>0.04999999999999982</v>
      </c>
      <c r="G70">
        <v>0.06961037572506878</v>
      </c>
      <c r="H70">
        <v>0.8009674270449001</v>
      </c>
      <c r="I70">
        <v>3485.32621</v>
      </c>
      <c r="J70">
        <v>10.87913340171303</v>
      </c>
      <c r="K70">
        <v>0.376041045560986</v>
      </c>
      <c r="L70">
        <v>0.823938133198812</v>
      </c>
      <c r="M70">
        <v>25.28</v>
      </c>
      <c r="N70">
        <v>17.13</v>
      </c>
    </row>
    <row r="71" spans="1:14">
      <c r="A71" s="1" t="s">
        <v>83</v>
      </c>
      <c r="B71">
        <f>HYPERLINK("https://www.suredividend.com/sure-analysis-research-database/","ASGN Inc")</f>
        <v>0</v>
      </c>
      <c r="C71" t="s">
        <v>1924</v>
      </c>
      <c r="D71">
        <v>84.81999999999999</v>
      </c>
      <c r="E71">
        <v>0</v>
      </c>
      <c r="F71" t="s">
        <v>1921</v>
      </c>
      <c r="G71" t="s">
        <v>1921</v>
      </c>
      <c r="H71">
        <v>0</v>
      </c>
      <c r="I71">
        <v>4232.518</v>
      </c>
      <c r="J71">
        <v>14.2269512605042</v>
      </c>
      <c r="K71">
        <v>0</v>
      </c>
      <c r="L71">
        <v>1.229758827515126</v>
      </c>
      <c r="M71">
        <v>124.35</v>
      </c>
      <c r="N71">
        <v>78.26000000000001</v>
      </c>
    </row>
    <row r="72" spans="1:14">
      <c r="A72" s="1" t="s">
        <v>84</v>
      </c>
      <c r="B72">
        <f>HYPERLINK("https://www.suredividend.com/sure-analysis-research-database/","AdvanSix Inc")</f>
        <v>0</v>
      </c>
      <c r="C72" t="s">
        <v>1925</v>
      </c>
      <c r="D72">
        <v>39.53</v>
      </c>
      <c r="E72">
        <v>0.013592698790848</v>
      </c>
      <c r="F72" t="s">
        <v>1921</v>
      </c>
      <c r="G72" t="s">
        <v>1921</v>
      </c>
      <c r="H72">
        <v>0.5373193832022261</v>
      </c>
      <c r="I72">
        <v>1089.71932</v>
      </c>
      <c r="J72">
        <v>6.732938231437945</v>
      </c>
      <c r="K72">
        <v>0.09698905833975199</v>
      </c>
      <c r="L72">
        <v>1.258667703818499</v>
      </c>
      <c r="M72">
        <v>56.53</v>
      </c>
      <c r="N72">
        <v>30.58</v>
      </c>
    </row>
    <row r="73" spans="1:14">
      <c r="A73" s="1" t="s">
        <v>85</v>
      </c>
      <c r="B73">
        <f>HYPERLINK("https://www.suredividend.com/sure-analysis-research-database/","AerSale Corp")</f>
        <v>0</v>
      </c>
      <c r="C73" t="s">
        <v>1921</v>
      </c>
      <c r="D73">
        <v>16.57</v>
      </c>
      <c r="E73">
        <v>0</v>
      </c>
      <c r="F73" t="s">
        <v>1921</v>
      </c>
      <c r="G73" t="s">
        <v>1921</v>
      </c>
      <c r="H73">
        <v>0</v>
      </c>
      <c r="I73">
        <v>857.906199</v>
      </c>
      <c r="J73">
        <v>0</v>
      </c>
      <c r="K73" t="s">
        <v>1921</v>
      </c>
      <c r="L73">
        <v>1.007385262779438</v>
      </c>
      <c r="M73">
        <v>21.76</v>
      </c>
      <c r="N73">
        <v>12.78</v>
      </c>
    </row>
    <row r="74" spans="1:14">
      <c r="A74" s="1" t="s">
        <v>86</v>
      </c>
      <c r="B74">
        <f>HYPERLINK("https://www.suredividend.com/sure-analysis-research-database/","Academy Sports and Outdoors Inc")</f>
        <v>0</v>
      </c>
      <c r="C74" t="s">
        <v>1921</v>
      </c>
      <c r="D74">
        <v>54</v>
      </c>
      <c r="E74">
        <v>0.004160555409619</v>
      </c>
      <c r="F74" t="s">
        <v>1921</v>
      </c>
      <c r="G74" t="s">
        <v>1921</v>
      </c>
      <c r="H74">
        <v>0.224669992119469</v>
      </c>
      <c r="I74">
        <v>4219.824222</v>
      </c>
      <c r="J74">
        <v>6.893808419291705</v>
      </c>
      <c r="K74">
        <v>0.03173304973438828</v>
      </c>
      <c r="L74">
        <v>1.471957484611566</v>
      </c>
      <c r="M74">
        <v>57.77</v>
      </c>
      <c r="N74">
        <v>24.97</v>
      </c>
    </row>
    <row r="75" spans="1:14">
      <c r="A75" s="1" t="s">
        <v>87</v>
      </c>
      <c r="B75">
        <f>HYPERLINK("https://www.suredividend.com/sure-analysis-research-database/","Aspen Aerogels Inc.")</f>
        <v>0</v>
      </c>
      <c r="C75" t="s">
        <v>1924</v>
      </c>
      <c r="D75">
        <v>11.3</v>
      </c>
      <c r="E75">
        <v>0</v>
      </c>
      <c r="F75" t="s">
        <v>1921</v>
      </c>
      <c r="G75" t="s">
        <v>1921</v>
      </c>
      <c r="H75">
        <v>0</v>
      </c>
      <c r="I75">
        <v>462.277124</v>
      </c>
      <c r="J75">
        <v>0</v>
      </c>
      <c r="K75" t="s">
        <v>1921</v>
      </c>
      <c r="L75">
        <v>2.159436163054999</v>
      </c>
      <c r="M75">
        <v>44.72</v>
      </c>
      <c r="N75">
        <v>7.93</v>
      </c>
    </row>
    <row r="76" spans="1:14">
      <c r="A76" s="1" t="s">
        <v>88</v>
      </c>
      <c r="B76">
        <f>HYPERLINK("https://www.suredividend.com/sure-analysis-research-database/","Astec Industries Inc.")</f>
        <v>0</v>
      </c>
      <c r="C76" t="s">
        <v>1924</v>
      </c>
      <c r="D76">
        <v>37.4</v>
      </c>
      <c r="E76">
        <v>0.013006278543549</v>
      </c>
      <c r="F76">
        <v>0.08333333333333348</v>
      </c>
      <c r="G76">
        <v>0.05387395206178347</v>
      </c>
      <c r="H76">
        <v>0.486434817528742</v>
      </c>
      <c r="I76">
        <v>849.445593</v>
      </c>
      <c r="J76" t="s">
        <v>1921</v>
      </c>
      <c r="K76" t="s">
        <v>1921</v>
      </c>
      <c r="L76">
        <v>1.081521335225624</v>
      </c>
      <c r="M76">
        <v>70.84</v>
      </c>
      <c r="N76">
        <v>30.85</v>
      </c>
    </row>
    <row r="77" spans="1:14">
      <c r="A77" s="1" t="s">
        <v>89</v>
      </c>
      <c r="B77">
        <f>HYPERLINK("https://www.suredividend.com/sure-analysis-research-database/","Asensus Surgical Inc")</f>
        <v>0</v>
      </c>
      <c r="C77" t="s">
        <v>1921</v>
      </c>
      <c r="D77">
        <v>0.4533</v>
      </c>
      <c r="E77">
        <v>0</v>
      </c>
      <c r="F77" t="s">
        <v>1921</v>
      </c>
      <c r="G77" t="s">
        <v>1921</v>
      </c>
      <c r="H77">
        <v>0</v>
      </c>
      <c r="I77">
        <v>107.359523</v>
      </c>
      <c r="J77">
        <v>0</v>
      </c>
      <c r="K77" t="s">
        <v>1921</v>
      </c>
      <c r="L77">
        <v>1.568897799678217</v>
      </c>
      <c r="M77">
        <v>1.04</v>
      </c>
      <c r="N77">
        <v>0.28</v>
      </c>
    </row>
    <row r="78" spans="1:14">
      <c r="A78" s="1" t="s">
        <v>90</v>
      </c>
      <c r="B78">
        <f>HYPERLINK("https://www.suredividend.com/sure-analysis-research-database/","Atlas Technical Consultants Inc")</f>
        <v>0</v>
      </c>
      <c r="C78" t="s">
        <v>1924</v>
      </c>
      <c r="D78">
        <v>5.79</v>
      </c>
      <c r="E78">
        <v>0</v>
      </c>
      <c r="F78" t="s">
        <v>1921</v>
      </c>
      <c r="G78" t="s">
        <v>1921</v>
      </c>
      <c r="H78">
        <v>0</v>
      </c>
      <c r="I78">
        <v>218.404897</v>
      </c>
      <c r="J78">
        <v>0</v>
      </c>
      <c r="K78" t="s">
        <v>1921</v>
      </c>
      <c r="L78">
        <v>1.176418684013789</v>
      </c>
      <c r="M78">
        <v>13.57</v>
      </c>
      <c r="N78">
        <v>4.71</v>
      </c>
    </row>
    <row r="79" spans="1:14">
      <c r="A79" s="1" t="s">
        <v>91</v>
      </c>
      <c r="B79">
        <f>HYPERLINK("https://www.suredividend.com/sure-analysis-research-database/","Alphatec Holdings Inc")</f>
        <v>0</v>
      </c>
      <c r="C79" t="s">
        <v>1922</v>
      </c>
      <c r="D79">
        <v>11.94</v>
      </c>
      <c r="E79">
        <v>0</v>
      </c>
      <c r="F79" t="s">
        <v>1921</v>
      </c>
      <c r="G79" t="s">
        <v>1921</v>
      </c>
      <c r="H79">
        <v>0</v>
      </c>
      <c r="I79">
        <v>1254.396389</v>
      </c>
      <c r="J79" t="s">
        <v>1921</v>
      </c>
      <c r="K79">
        <v>-0</v>
      </c>
      <c r="L79">
        <v>1.530544520717701</v>
      </c>
      <c r="M79">
        <v>13.65</v>
      </c>
      <c r="N79">
        <v>5.73</v>
      </c>
    </row>
    <row r="80" spans="1:14">
      <c r="A80" s="1" t="s">
        <v>92</v>
      </c>
      <c r="B80">
        <f>HYPERLINK("https://www.suredividend.com/sure-analysis-research-database/","A10 Networks Inc")</f>
        <v>0</v>
      </c>
      <c r="C80" t="s">
        <v>1920</v>
      </c>
      <c r="D80">
        <v>15.83</v>
      </c>
      <c r="E80">
        <v>0.01320394920224</v>
      </c>
      <c r="F80" t="s">
        <v>1921</v>
      </c>
      <c r="G80" t="s">
        <v>1921</v>
      </c>
      <c r="H80">
        <v>0.209018515871462</v>
      </c>
      <c r="I80">
        <v>1162.678911</v>
      </c>
      <c r="J80">
        <v>29.35613067338282</v>
      </c>
      <c r="K80">
        <v>0.4176194123305934</v>
      </c>
      <c r="L80">
        <v>1.088357389623018</v>
      </c>
      <c r="M80">
        <v>19.73</v>
      </c>
      <c r="N80">
        <v>12.15</v>
      </c>
    </row>
    <row r="81" spans="1:14">
      <c r="A81" s="1" t="s">
        <v>93</v>
      </c>
      <c r="B81">
        <f>HYPERLINK("https://www.suredividend.com/sure-analysis-research-database/","Aterian Inc")</f>
        <v>0</v>
      </c>
      <c r="C81" t="s">
        <v>1921</v>
      </c>
      <c r="D81">
        <v>0.8017000000000001</v>
      </c>
      <c r="E81">
        <v>0</v>
      </c>
      <c r="F81" t="s">
        <v>1921</v>
      </c>
      <c r="G81" t="s">
        <v>1921</v>
      </c>
      <c r="H81">
        <v>0</v>
      </c>
      <c r="I81">
        <v>64.833974</v>
      </c>
      <c r="J81">
        <v>0</v>
      </c>
      <c r="K81" t="s">
        <v>1921</v>
      </c>
      <c r="L81">
        <v>1.665605149134245</v>
      </c>
      <c r="M81">
        <v>7.26</v>
      </c>
      <c r="N81">
        <v>0.672</v>
      </c>
    </row>
    <row r="82" spans="1:14">
      <c r="A82" s="1" t="s">
        <v>94</v>
      </c>
      <c r="B82">
        <f>HYPERLINK("https://www.suredividend.com/sure-analysis-research-database/","Anterix Inc")</f>
        <v>0</v>
      </c>
      <c r="C82" t="s">
        <v>1931</v>
      </c>
      <c r="D82">
        <v>33.53</v>
      </c>
      <c r="E82">
        <v>0</v>
      </c>
      <c r="F82" t="s">
        <v>1921</v>
      </c>
      <c r="G82" t="s">
        <v>1921</v>
      </c>
      <c r="H82">
        <v>0</v>
      </c>
      <c r="I82">
        <v>635.716796</v>
      </c>
      <c r="J82">
        <v>0</v>
      </c>
      <c r="K82" t="s">
        <v>1921</v>
      </c>
      <c r="L82">
        <v>0.580154121043264</v>
      </c>
      <c r="M82">
        <v>60.07</v>
      </c>
      <c r="N82">
        <v>29.29</v>
      </c>
    </row>
    <row r="83" spans="1:14">
      <c r="A83" s="1" t="s">
        <v>95</v>
      </c>
      <c r="B83">
        <f>HYPERLINK("https://www.suredividend.com/sure-analysis-research-database/","Adtalem Global Education Inc")</f>
        <v>0</v>
      </c>
      <c r="C83" t="s">
        <v>1928</v>
      </c>
      <c r="D83">
        <v>36.06</v>
      </c>
      <c r="E83">
        <v>0</v>
      </c>
      <c r="F83" t="s">
        <v>1921</v>
      </c>
      <c r="G83" t="s">
        <v>1921</v>
      </c>
      <c r="H83">
        <v>0</v>
      </c>
      <c r="I83">
        <v>1637.291679</v>
      </c>
      <c r="J83">
        <v>4.33259419530512</v>
      </c>
      <c r="K83">
        <v>0</v>
      </c>
      <c r="L83">
        <v>0.6257618946187671</v>
      </c>
      <c r="M83">
        <v>44.4</v>
      </c>
      <c r="N83">
        <v>19.14</v>
      </c>
    </row>
    <row r="84" spans="1:14">
      <c r="A84" s="1" t="s">
        <v>96</v>
      </c>
      <c r="B84">
        <f>HYPERLINK("https://www.suredividend.com/sure-analysis-research-database/","Athira Pharma Inc")</f>
        <v>0</v>
      </c>
      <c r="C84" t="s">
        <v>1921</v>
      </c>
      <c r="D84">
        <v>3.58</v>
      </c>
      <c r="E84">
        <v>0</v>
      </c>
      <c r="F84" t="s">
        <v>1921</v>
      </c>
      <c r="G84" t="s">
        <v>1921</v>
      </c>
      <c r="H84">
        <v>0</v>
      </c>
      <c r="I84">
        <v>135.428912</v>
      </c>
      <c r="J84">
        <v>0</v>
      </c>
      <c r="K84" t="s">
        <v>1921</v>
      </c>
      <c r="L84">
        <v>1.359293116462225</v>
      </c>
      <c r="M84">
        <v>14.22</v>
      </c>
      <c r="N84">
        <v>2.53</v>
      </c>
    </row>
    <row r="85" spans="1:14">
      <c r="A85" s="1" t="s">
        <v>97</v>
      </c>
      <c r="B85">
        <f>HYPERLINK("https://www.suredividend.com/sure-analysis-research-database/","Athersys Inc")</f>
        <v>0</v>
      </c>
      <c r="C85" t="s">
        <v>1922</v>
      </c>
      <c r="D85">
        <v>1.09</v>
      </c>
      <c r="E85">
        <v>0</v>
      </c>
      <c r="F85" t="s">
        <v>1921</v>
      </c>
      <c r="G85" t="s">
        <v>1921</v>
      </c>
      <c r="H85">
        <v>0</v>
      </c>
      <c r="I85">
        <v>299.869623</v>
      </c>
      <c r="J85">
        <v>0</v>
      </c>
      <c r="K85" t="s">
        <v>1921</v>
      </c>
      <c r="M85">
        <v>33.25</v>
      </c>
      <c r="N85">
        <v>0.5031</v>
      </c>
    </row>
    <row r="86" spans="1:14">
      <c r="A86" s="1" t="s">
        <v>98</v>
      </c>
      <c r="B86">
        <f>HYPERLINK("https://www.suredividend.com/sure-analysis-research-database/","ATI Inc")</f>
        <v>0</v>
      </c>
      <c r="C86" t="s">
        <v>1924</v>
      </c>
      <c r="D86">
        <v>32.46</v>
      </c>
      <c r="E86">
        <v>0</v>
      </c>
      <c r="F86" t="s">
        <v>1921</v>
      </c>
      <c r="G86" t="s">
        <v>1921</v>
      </c>
      <c r="H86">
        <v>0</v>
      </c>
      <c r="I86">
        <v>4200.897373</v>
      </c>
      <c r="J86">
        <v>173.5908005553719</v>
      </c>
      <c r="K86">
        <v>0</v>
      </c>
      <c r="L86">
        <v>0.973184027467184</v>
      </c>
      <c r="M86">
        <v>33.74</v>
      </c>
      <c r="N86">
        <v>17.71</v>
      </c>
    </row>
    <row r="87" spans="1:14">
      <c r="A87" s="1" t="s">
        <v>99</v>
      </c>
      <c r="B87">
        <f>HYPERLINK("https://www.suredividend.com/sure-analysis-research-database/","Atkore Inc")</f>
        <v>0</v>
      </c>
      <c r="C87" t="s">
        <v>1924</v>
      </c>
      <c r="D87">
        <v>116.55</v>
      </c>
      <c r="E87">
        <v>0</v>
      </c>
      <c r="F87" t="s">
        <v>1921</v>
      </c>
      <c r="G87" t="s">
        <v>1921</v>
      </c>
      <c r="H87">
        <v>0</v>
      </c>
      <c r="I87">
        <v>4646.297219</v>
      </c>
      <c r="J87">
        <v>5.168450240997227</v>
      </c>
      <c r="K87">
        <v>0</v>
      </c>
      <c r="L87">
        <v>1.424632008142499</v>
      </c>
      <c r="M87">
        <v>128.36</v>
      </c>
      <c r="N87">
        <v>70.5</v>
      </c>
    </row>
    <row r="88" spans="1:14">
      <c r="A88" s="1" t="s">
        <v>100</v>
      </c>
      <c r="B88">
        <f>HYPERLINK("https://www.suredividend.com/sure-analysis-research-database/","Atlanticus Holdings Corp")</f>
        <v>0</v>
      </c>
      <c r="C88" t="s">
        <v>1923</v>
      </c>
      <c r="D88">
        <v>28.54</v>
      </c>
      <c r="E88">
        <v>0</v>
      </c>
      <c r="F88" t="s">
        <v>1921</v>
      </c>
      <c r="G88" t="s">
        <v>1921</v>
      </c>
      <c r="H88">
        <v>0</v>
      </c>
      <c r="I88">
        <v>412.268719</v>
      </c>
      <c r="J88">
        <v>3.019951795040838</v>
      </c>
      <c r="K88">
        <v>0</v>
      </c>
      <c r="L88">
        <v>1.5997996579257</v>
      </c>
      <c r="M88">
        <v>73.29000000000001</v>
      </c>
      <c r="N88">
        <v>23.15</v>
      </c>
    </row>
    <row r="89" spans="1:14">
      <c r="A89" s="1" t="s">
        <v>101</v>
      </c>
      <c r="B89">
        <f>HYPERLINK("https://www.suredividend.com/sure-analysis-research-database/","ATN International Inc")</f>
        <v>0</v>
      </c>
      <c r="C89" t="s">
        <v>1931</v>
      </c>
      <c r="D89">
        <v>45.51</v>
      </c>
      <c r="E89">
        <v>0.015723543526747</v>
      </c>
      <c r="F89">
        <v>0.2352941176470587</v>
      </c>
      <c r="G89">
        <v>0.04316756381013498</v>
      </c>
      <c r="H89">
        <v>0.715578465902296</v>
      </c>
      <c r="I89">
        <v>717.389649</v>
      </c>
      <c r="J89" t="s">
        <v>1921</v>
      </c>
      <c r="K89" t="s">
        <v>1921</v>
      </c>
      <c r="L89">
        <v>0.436783695899171</v>
      </c>
      <c r="M89">
        <v>50</v>
      </c>
      <c r="N89">
        <v>31.54</v>
      </c>
    </row>
    <row r="90" spans="1:14">
      <c r="A90" s="1" t="s">
        <v>102</v>
      </c>
      <c r="B90">
        <f>HYPERLINK("https://www.suredividend.com/sure-analysis-research-database/","Athenex Inc")</f>
        <v>0</v>
      </c>
      <c r="C90" t="s">
        <v>1922</v>
      </c>
      <c r="D90">
        <v>0.1795</v>
      </c>
      <c r="E90">
        <v>0</v>
      </c>
      <c r="F90" t="s">
        <v>1921</v>
      </c>
      <c r="G90" t="s">
        <v>1921</v>
      </c>
      <c r="H90">
        <v>0</v>
      </c>
      <c r="I90">
        <v>28.255113</v>
      </c>
      <c r="J90" t="s">
        <v>1921</v>
      </c>
      <c r="K90">
        <v>-0</v>
      </c>
      <c r="L90">
        <v>1.225235070047664</v>
      </c>
      <c r="M90">
        <v>1.31</v>
      </c>
      <c r="N90">
        <v>0.1184</v>
      </c>
    </row>
    <row r="91" spans="1:14">
      <c r="A91" s="1" t="s">
        <v>103</v>
      </c>
      <c r="B91">
        <f>HYPERLINK("https://www.suredividend.com/sure-analysis-research-database/","Atomera Inc")</f>
        <v>0</v>
      </c>
      <c r="C91" t="s">
        <v>1920</v>
      </c>
      <c r="D91">
        <v>6.62</v>
      </c>
      <c r="E91">
        <v>0</v>
      </c>
      <c r="F91" t="s">
        <v>1921</v>
      </c>
      <c r="G91" t="s">
        <v>1921</v>
      </c>
      <c r="H91">
        <v>0</v>
      </c>
      <c r="I91">
        <v>157.911673</v>
      </c>
      <c r="J91">
        <v>0</v>
      </c>
      <c r="K91" t="s">
        <v>1921</v>
      </c>
      <c r="L91">
        <v>2.181579117185603</v>
      </c>
      <c r="M91">
        <v>18.95</v>
      </c>
      <c r="N91">
        <v>5.75</v>
      </c>
    </row>
    <row r="92" spans="1:14">
      <c r="A92" s="1" t="s">
        <v>104</v>
      </c>
      <c r="B92">
        <f>HYPERLINK("https://www.suredividend.com/sure-analysis-research-database/","Atossa Therapeutics Inc")</f>
        <v>0</v>
      </c>
      <c r="C92" t="s">
        <v>1922</v>
      </c>
      <c r="D92">
        <v>0.7003</v>
      </c>
      <c r="E92">
        <v>0</v>
      </c>
      <c r="F92" t="s">
        <v>1921</v>
      </c>
      <c r="G92" t="s">
        <v>1921</v>
      </c>
      <c r="H92">
        <v>0</v>
      </c>
      <c r="I92">
        <v>88.674864</v>
      </c>
      <c r="J92">
        <v>0</v>
      </c>
      <c r="K92" t="s">
        <v>1921</v>
      </c>
      <c r="L92">
        <v>1.202964832073838</v>
      </c>
      <c r="M92">
        <v>1.62</v>
      </c>
      <c r="N92">
        <v>0.5</v>
      </c>
    </row>
    <row r="93" spans="1:14">
      <c r="A93" s="1" t="s">
        <v>105</v>
      </c>
      <c r="B93">
        <f>HYPERLINK("https://www.suredividend.com/sure-analysis-research-database/","Atara Biotherapeutics Inc")</f>
        <v>0</v>
      </c>
      <c r="C93" t="s">
        <v>1922</v>
      </c>
      <c r="D93">
        <v>3.51</v>
      </c>
      <c r="E93">
        <v>0</v>
      </c>
      <c r="F93" t="s">
        <v>1921</v>
      </c>
      <c r="G93" t="s">
        <v>1921</v>
      </c>
      <c r="H93">
        <v>0</v>
      </c>
      <c r="I93">
        <v>333.024132</v>
      </c>
      <c r="J93">
        <v>0</v>
      </c>
      <c r="K93" t="s">
        <v>1921</v>
      </c>
      <c r="L93">
        <v>2.177539986026282</v>
      </c>
      <c r="M93">
        <v>16.35</v>
      </c>
      <c r="N93">
        <v>2.83</v>
      </c>
    </row>
    <row r="94" spans="1:14">
      <c r="A94" s="1" t="s">
        <v>106</v>
      </c>
      <c r="B94">
        <f>HYPERLINK("https://www.suredividend.com/sure-analysis-research-database/","Atricure Inc")</f>
        <v>0</v>
      </c>
      <c r="C94" t="s">
        <v>1922</v>
      </c>
      <c r="D94">
        <v>43.9</v>
      </c>
      <c r="E94">
        <v>0</v>
      </c>
      <c r="F94" t="s">
        <v>1921</v>
      </c>
      <c r="G94" t="s">
        <v>1921</v>
      </c>
      <c r="H94">
        <v>0</v>
      </c>
      <c r="I94">
        <v>2041.717004</v>
      </c>
      <c r="J94">
        <v>0</v>
      </c>
      <c r="K94" t="s">
        <v>1921</v>
      </c>
      <c r="L94">
        <v>1.34356674141964</v>
      </c>
      <c r="M94">
        <v>72.31</v>
      </c>
      <c r="N94">
        <v>32.51</v>
      </c>
    </row>
    <row r="95" spans="1:14">
      <c r="A95" s="1" t="s">
        <v>107</v>
      </c>
      <c r="B95">
        <f>HYPERLINK("https://www.suredividend.com/sure-analysis-ATRI/","Atrion Corp.")</f>
        <v>0</v>
      </c>
      <c r="C95" t="s">
        <v>1922</v>
      </c>
      <c r="D95">
        <v>590.35</v>
      </c>
      <c r="E95">
        <v>0.0145676293724062</v>
      </c>
      <c r="F95">
        <v>0.1025641025641024</v>
      </c>
      <c r="G95">
        <v>0.1237027476042598</v>
      </c>
      <c r="H95">
        <v>8.157522700227936</v>
      </c>
      <c r="I95">
        <v>1046.467398</v>
      </c>
      <c r="J95">
        <v>30.0588096082036</v>
      </c>
      <c r="K95">
        <v>0.4215774005285755</v>
      </c>
      <c r="L95">
        <v>0.5947577560767211</v>
      </c>
      <c r="M95">
        <v>775.63</v>
      </c>
      <c r="N95">
        <v>534.99</v>
      </c>
    </row>
    <row r="96" spans="1:14">
      <c r="A96" s="1" t="s">
        <v>108</v>
      </c>
      <c r="B96">
        <f>HYPERLINK("https://www.suredividend.com/sure-analysis-research-database/","Astronics Corp.")</f>
        <v>0</v>
      </c>
      <c r="C96" t="s">
        <v>1924</v>
      </c>
      <c r="D96">
        <v>10.18</v>
      </c>
      <c r="E96">
        <v>0</v>
      </c>
      <c r="F96" t="s">
        <v>1921</v>
      </c>
      <c r="G96" t="s">
        <v>1921</v>
      </c>
      <c r="H96">
        <v>0</v>
      </c>
      <c r="I96">
        <v>261.264915</v>
      </c>
      <c r="J96" t="s">
        <v>1921</v>
      </c>
      <c r="K96">
        <v>-0</v>
      </c>
      <c r="L96">
        <v>0.9927849024493051</v>
      </c>
      <c r="M96">
        <v>14.87</v>
      </c>
      <c r="N96">
        <v>7.46</v>
      </c>
    </row>
    <row r="97" spans="1:14">
      <c r="A97" s="1" t="s">
        <v>109</v>
      </c>
      <c r="B97">
        <f>HYPERLINK("https://www.suredividend.com/sure-analysis-research-database/","Antares Pharma Inc")</f>
        <v>0</v>
      </c>
      <c r="C97" t="s">
        <v>1922</v>
      </c>
      <c r="D97">
        <v>5.59</v>
      </c>
      <c r="E97">
        <v>0</v>
      </c>
      <c r="F97" t="s">
        <v>1921</v>
      </c>
      <c r="G97" t="s">
        <v>1921</v>
      </c>
      <c r="H97">
        <v>0</v>
      </c>
      <c r="I97">
        <v>0</v>
      </c>
      <c r="J97">
        <v>0</v>
      </c>
      <c r="K97">
        <v>0</v>
      </c>
    </row>
    <row r="98" spans="1:14">
      <c r="A98" s="1" t="s">
        <v>110</v>
      </c>
      <c r="B98">
        <f>HYPERLINK("https://www.suredividend.com/sure-analysis-research-database/","Air Transport Services Group Inc")</f>
        <v>0</v>
      </c>
      <c r="C98" t="s">
        <v>1924</v>
      </c>
      <c r="D98">
        <v>26.36</v>
      </c>
      <c r="E98">
        <v>0</v>
      </c>
      <c r="F98" t="s">
        <v>1921</v>
      </c>
      <c r="G98" t="s">
        <v>1921</v>
      </c>
      <c r="H98">
        <v>0</v>
      </c>
      <c r="I98">
        <v>1917.120545</v>
      </c>
      <c r="J98">
        <v>9.563844977276696</v>
      </c>
      <c r="K98">
        <v>0</v>
      </c>
      <c r="L98">
        <v>0.770253286222449</v>
      </c>
      <c r="M98">
        <v>34.54</v>
      </c>
      <c r="N98">
        <v>23.32</v>
      </c>
    </row>
    <row r="99" spans="1:14">
      <c r="A99" s="1" t="s">
        <v>111</v>
      </c>
      <c r="B99">
        <f>HYPERLINK("https://www.suredividend.com/sure-analysis-research-database/","Atlantic Union Bankshares Corp")</f>
        <v>0</v>
      </c>
      <c r="C99" t="s">
        <v>1923</v>
      </c>
      <c r="D99">
        <v>36.2</v>
      </c>
      <c r="E99">
        <v>0.031357831432001</v>
      </c>
      <c r="F99">
        <v>0.0714285714285714</v>
      </c>
      <c r="G99">
        <v>0.07394092378577932</v>
      </c>
      <c r="H99">
        <v>1.135153497838463</v>
      </c>
      <c r="I99">
        <v>2704.556553</v>
      </c>
      <c r="J99">
        <v>13.52975058855311</v>
      </c>
      <c r="K99">
        <v>0.4267494352776177</v>
      </c>
      <c r="L99">
        <v>0.7739497615852501</v>
      </c>
      <c r="M99">
        <v>40.93</v>
      </c>
      <c r="N99">
        <v>29.73</v>
      </c>
    </row>
    <row r="100" spans="1:14">
      <c r="A100" s="1" t="s">
        <v>112</v>
      </c>
      <c r="B100">
        <f>HYPERLINK("https://www.suredividend.com/sure-analysis-research-database/","Audacy Inc")</f>
        <v>0</v>
      </c>
      <c r="C100" t="s">
        <v>1921</v>
      </c>
      <c r="D100">
        <v>0.2522</v>
      </c>
      <c r="E100">
        <v>0</v>
      </c>
      <c r="F100" t="s">
        <v>1921</v>
      </c>
      <c r="G100" t="s">
        <v>1921</v>
      </c>
      <c r="H100">
        <v>0</v>
      </c>
      <c r="I100">
        <v>35.561875</v>
      </c>
      <c r="J100" t="s">
        <v>1921</v>
      </c>
      <c r="K100">
        <v>-0</v>
      </c>
      <c r="L100">
        <v>1.422277562424735</v>
      </c>
      <c r="M100">
        <v>3.36</v>
      </c>
      <c r="N100">
        <v>0.2001</v>
      </c>
    </row>
    <row r="101" spans="1:14">
      <c r="A101" s="1" t="s">
        <v>113</v>
      </c>
      <c r="B101">
        <f>HYPERLINK("https://www.suredividend.com/sure-analysis-research-database/","Aura Biosciences Inc")</f>
        <v>0</v>
      </c>
      <c r="C101" t="s">
        <v>1921</v>
      </c>
      <c r="D101">
        <v>10.48</v>
      </c>
      <c r="E101">
        <v>0</v>
      </c>
      <c r="F101" t="s">
        <v>1921</v>
      </c>
      <c r="G101" t="s">
        <v>1921</v>
      </c>
      <c r="H101">
        <v>0</v>
      </c>
      <c r="I101">
        <v>307.42796</v>
      </c>
      <c r="J101">
        <v>0</v>
      </c>
      <c r="K101" t="s">
        <v>1921</v>
      </c>
      <c r="L101">
        <v>0.8762248901223401</v>
      </c>
      <c r="M101">
        <v>24.83</v>
      </c>
      <c r="N101">
        <v>9.43</v>
      </c>
    </row>
    <row r="102" spans="1:14">
      <c r="A102" s="1" t="s">
        <v>114</v>
      </c>
      <c r="B102">
        <f>HYPERLINK("https://www.suredividend.com/sure-analysis-AVA/","Avista Corp.")</f>
        <v>0</v>
      </c>
      <c r="C102" t="s">
        <v>1930</v>
      </c>
      <c r="D102">
        <v>43.1</v>
      </c>
      <c r="E102">
        <v>0.04083526682134571</v>
      </c>
      <c r="F102">
        <v>0.04142011834319526</v>
      </c>
      <c r="G102">
        <v>0.03386844400085565</v>
      </c>
      <c r="H102">
        <v>1.732137593939738</v>
      </c>
      <c r="I102">
        <v>3179.735256</v>
      </c>
      <c r="J102">
        <v>24.82287060586899</v>
      </c>
      <c r="K102">
        <v>0.9786088101354452</v>
      </c>
      <c r="L102">
        <v>0.403197738881262</v>
      </c>
      <c r="M102">
        <v>45.45</v>
      </c>
      <c r="N102">
        <v>35.31</v>
      </c>
    </row>
    <row r="103" spans="1:14">
      <c r="A103" s="1" t="s">
        <v>115</v>
      </c>
      <c r="B103">
        <f>HYPERLINK("https://www.suredividend.com/sure-analysis-research-database/","Aveanna Healthcare Holdings Inc")</f>
        <v>0</v>
      </c>
      <c r="C103" t="s">
        <v>1921</v>
      </c>
      <c r="D103">
        <v>0.9601000000000001</v>
      </c>
      <c r="E103">
        <v>0</v>
      </c>
      <c r="F103" t="s">
        <v>1921</v>
      </c>
      <c r="G103" t="s">
        <v>1921</v>
      </c>
      <c r="H103">
        <v>0</v>
      </c>
      <c r="I103">
        <v>178.500102</v>
      </c>
      <c r="J103">
        <v>0</v>
      </c>
      <c r="K103" t="s">
        <v>1921</v>
      </c>
      <c r="L103">
        <v>0.956171730851723</v>
      </c>
      <c r="M103">
        <v>6.88</v>
      </c>
      <c r="N103">
        <v>0.6664</v>
      </c>
    </row>
    <row r="104" spans="1:14">
      <c r="A104" s="1" t="s">
        <v>116</v>
      </c>
      <c r="B104">
        <f>HYPERLINK("https://www.suredividend.com/sure-analysis-research-database/","AeroVironment Inc.")</f>
        <v>0</v>
      </c>
      <c r="C104" t="s">
        <v>1924</v>
      </c>
      <c r="D104">
        <v>89.73</v>
      </c>
      <c r="E104">
        <v>0</v>
      </c>
      <c r="F104" t="s">
        <v>1921</v>
      </c>
      <c r="G104" t="s">
        <v>1921</v>
      </c>
      <c r="H104">
        <v>0</v>
      </c>
      <c r="I104">
        <v>2257.365965</v>
      </c>
      <c r="J104" t="s">
        <v>1921</v>
      </c>
      <c r="K104">
        <v>-0</v>
      </c>
      <c r="L104">
        <v>1.176334915477864</v>
      </c>
      <c r="M104">
        <v>114.11</v>
      </c>
      <c r="N104">
        <v>52.03</v>
      </c>
    </row>
    <row r="105" spans="1:14">
      <c r="A105" s="1" t="s">
        <v>117</v>
      </c>
      <c r="B105">
        <f>HYPERLINK("https://www.suredividend.com/sure-analysis-research-database/","American Vanguard Corp.")</f>
        <v>0</v>
      </c>
      <c r="C105" t="s">
        <v>1925</v>
      </c>
      <c r="D105">
        <v>21.89</v>
      </c>
      <c r="E105">
        <v>0.004787790045546</v>
      </c>
      <c r="F105" t="s">
        <v>1921</v>
      </c>
      <c r="G105" t="s">
        <v>1921</v>
      </c>
      <c r="H105">
        <v>0.104804724097003</v>
      </c>
      <c r="I105">
        <v>647.541815</v>
      </c>
      <c r="J105">
        <v>22.81683632945737</v>
      </c>
      <c r="K105">
        <v>0.111352235547177</v>
      </c>
      <c r="L105">
        <v>0.7357329585993601</v>
      </c>
      <c r="M105">
        <v>25.89</v>
      </c>
      <c r="N105">
        <v>13.75</v>
      </c>
    </row>
    <row r="106" spans="1:14">
      <c r="A106" s="1" t="s">
        <v>118</v>
      </c>
      <c r="B106">
        <f>HYPERLINK("https://www.suredividend.com/sure-analysis-research-database/","AvidXchange Holdings Inc")</f>
        <v>0</v>
      </c>
      <c r="C106" t="s">
        <v>1922</v>
      </c>
      <c r="D106">
        <v>9.83</v>
      </c>
      <c r="E106">
        <v>0</v>
      </c>
      <c r="F106" t="s">
        <v>1921</v>
      </c>
      <c r="G106" t="s">
        <v>1921</v>
      </c>
      <c r="H106">
        <v>0</v>
      </c>
      <c r="I106">
        <v>1953.269688</v>
      </c>
      <c r="J106">
        <v>0</v>
      </c>
      <c r="K106" t="s">
        <v>1921</v>
      </c>
      <c r="L106">
        <v>1.635390787369875</v>
      </c>
      <c r="M106">
        <v>13.94</v>
      </c>
      <c r="N106">
        <v>5.86</v>
      </c>
    </row>
    <row r="107" spans="1:14">
      <c r="A107" s="1" t="s">
        <v>119</v>
      </c>
      <c r="B107">
        <f>HYPERLINK("https://www.suredividend.com/sure-analysis-research-database/","Avid Technology, Inc.")</f>
        <v>0</v>
      </c>
      <c r="C107" t="s">
        <v>1931</v>
      </c>
      <c r="D107">
        <v>27.73</v>
      </c>
      <c r="E107">
        <v>0</v>
      </c>
      <c r="F107" t="s">
        <v>1921</v>
      </c>
      <c r="G107" t="s">
        <v>1921</v>
      </c>
      <c r="H107">
        <v>0</v>
      </c>
      <c r="I107">
        <v>1211.557364</v>
      </c>
      <c r="J107">
        <v>26.80614563400226</v>
      </c>
      <c r="K107">
        <v>0</v>
      </c>
      <c r="L107">
        <v>1.537541413894362</v>
      </c>
      <c r="M107">
        <v>37.31</v>
      </c>
      <c r="N107">
        <v>20.83</v>
      </c>
    </row>
    <row r="108" spans="1:14">
      <c r="A108" s="1" t="s">
        <v>120</v>
      </c>
      <c r="B108">
        <f>HYPERLINK("https://www.suredividend.com/sure-analysis-research-database/","Atea Pharmaceuticals Inc")</f>
        <v>0</v>
      </c>
      <c r="C108" t="s">
        <v>1921</v>
      </c>
      <c r="D108">
        <v>4.68</v>
      </c>
      <c r="E108">
        <v>0</v>
      </c>
      <c r="F108" t="s">
        <v>1921</v>
      </c>
      <c r="G108" t="s">
        <v>1921</v>
      </c>
      <c r="H108">
        <v>0</v>
      </c>
      <c r="I108">
        <v>389.786151</v>
      </c>
      <c r="J108">
        <v>0</v>
      </c>
      <c r="K108" t="s">
        <v>1921</v>
      </c>
      <c r="L108">
        <v>1.365654213191782</v>
      </c>
      <c r="M108">
        <v>9.789999999999999</v>
      </c>
      <c r="N108">
        <v>4.18</v>
      </c>
    </row>
    <row r="109" spans="1:14">
      <c r="A109" s="1" t="s">
        <v>121</v>
      </c>
      <c r="B109">
        <f>HYPERLINK("https://www.suredividend.com/sure-analysis-research-database/","Avanos Medical Inc")</f>
        <v>0</v>
      </c>
      <c r="C109" t="s">
        <v>1922</v>
      </c>
      <c r="D109">
        <v>26.99</v>
      </c>
      <c r="E109">
        <v>0</v>
      </c>
      <c r="F109" t="s">
        <v>1921</v>
      </c>
      <c r="G109" t="s">
        <v>1921</v>
      </c>
      <c r="H109">
        <v>0</v>
      </c>
      <c r="I109">
        <v>1254.97044</v>
      </c>
      <c r="J109">
        <v>29.25339020792541</v>
      </c>
      <c r="K109">
        <v>0</v>
      </c>
      <c r="L109">
        <v>0.918091817003681</v>
      </c>
      <c r="M109">
        <v>35.91</v>
      </c>
      <c r="N109">
        <v>19.32</v>
      </c>
    </row>
    <row r="110" spans="1:14">
      <c r="A110" s="1" t="s">
        <v>122</v>
      </c>
      <c r="B110">
        <f>HYPERLINK("https://www.suredividend.com/sure-analysis-AVNT/","Avient Corp")</f>
        <v>0</v>
      </c>
      <c r="C110" t="s">
        <v>1921</v>
      </c>
      <c r="D110">
        <v>37.84</v>
      </c>
      <c r="E110">
        <v>0.02616279069767442</v>
      </c>
      <c r="F110">
        <v>0.04210526315789487</v>
      </c>
      <c r="G110">
        <v>0.07178439849804441</v>
      </c>
      <c r="H110">
        <v>0.95078422234125</v>
      </c>
      <c r="I110">
        <v>3441.303213</v>
      </c>
      <c r="J110">
        <v>18.26594062123142</v>
      </c>
      <c r="K110">
        <v>0.4637971816298781</v>
      </c>
      <c r="L110">
        <v>1.411791070357642</v>
      </c>
      <c r="M110">
        <v>55.23</v>
      </c>
      <c r="N110">
        <v>27.45</v>
      </c>
    </row>
    <row r="111" spans="1:14">
      <c r="A111" s="1" t="s">
        <v>123</v>
      </c>
      <c r="B111">
        <f>HYPERLINK("https://www.suredividend.com/sure-analysis-research-database/","Aviat Networks Inc")</f>
        <v>0</v>
      </c>
      <c r="C111" t="s">
        <v>1920</v>
      </c>
      <c r="D111">
        <v>30.98</v>
      </c>
      <c r="E111">
        <v>0</v>
      </c>
      <c r="F111" t="s">
        <v>1921</v>
      </c>
      <c r="G111" t="s">
        <v>1921</v>
      </c>
      <c r="H111">
        <v>0</v>
      </c>
      <c r="I111">
        <v>350.696977</v>
      </c>
      <c r="J111">
        <v>25.53866711476842</v>
      </c>
      <c r="K111">
        <v>0</v>
      </c>
      <c r="L111">
        <v>0.960421446873545</v>
      </c>
      <c r="M111">
        <v>35.18</v>
      </c>
      <c r="N111">
        <v>23.88</v>
      </c>
    </row>
    <row r="112" spans="1:14">
      <c r="A112" s="1" t="s">
        <v>124</v>
      </c>
      <c r="B112">
        <f>HYPERLINK("https://www.suredividend.com/sure-analysis-research-database/","Mission Produce Inc")</f>
        <v>0</v>
      </c>
      <c r="C112" t="s">
        <v>1921</v>
      </c>
      <c r="D112">
        <v>11.74</v>
      </c>
      <c r="E112">
        <v>0</v>
      </c>
      <c r="F112" t="s">
        <v>1921</v>
      </c>
      <c r="G112" t="s">
        <v>1921</v>
      </c>
      <c r="H112">
        <v>0</v>
      </c>
      <c r="I112">
        <v>829.660341</v>
      </c>
      <c r="J112">
        <v>0</v>
      </c>
      <c r="K112" t="s">
        <v>1921</v>
      </c>
      <c r="L112">
        <v>0.5584717129499011</v>
      </c>
      <c r="M112">
        <v>16.96</v>
      </c>
      <c r="N112">
        <v>11.04</v>
      </c>
    </row>
    <row r="113" spans="1:14">
      <c r="A113" s="1" t="s">
        <v>125</v>
      </c>
      <c r="B113">
        <f>HYPERLINK("https://www.suredividend.com/sure-analysis-research-database/","AvroBio Inc")</f>
        <v>0</v>
      </c>
      <c r="C113" t="s">
        <v>1922</v>
      </c>
      <c r="D113">
        <v>0.85</v>
      </c>
      <c r="E113">
        <v>0</v>
      </c>
      <c r="F113" t="s">
        <v>1921</v>
      </c>
      <c r="G113" t="s">
        <v>1921</v>
      </c>
      <c r="H113">
        <v>0</v>
      </c>
      <c r="I113">
        <v>37.207975</v>
      </c>
      <c r="J113">
        <v>0</v>
      </c>
      <c r="K113" t="s">
        <v>1921</v>
      </c>
      <c r="L113">
        <v>1.123141088187812</v>
      </c>
      <c r="M113">
        <v>2.25</v>
      </c>
      <c r="N113">
        <v>0.5600000000000001</v>
      </c>
    </row>
    <row r="114" spans="1:14">
      <c r="A114" s="1" t="s">
        <v>126</v>
      </c>
      <c r="B114">
        <f>HYPERLINK("https://www.suredividend.com/sure-analysis-research-database/","Aerovate Therapeutics Inc")</f>
        <v>0</v>
      </c>
      <c r="C114" t="s">
        <v>1921</v>
      </c>
      <c r="D114">
        <v>24.9</v>
      </c>
      <c r="E114">
        <v>0</v>
      </c>
      <c r="F114" t="s">
        <v>1921</v>
      </c>
      <c r="G114" t="s">
        <v>1921</v>
      </c>
      <c r="H114">
        <v>0</v>
      </c>
      <c r="I114">
        <v>607.818786</v>
      </c>
      <c r="J114">
        <v>0</v>
      </c>
      <c r="K114" t="s">
        <v>1921</v>
      </c>
      <c r="L114">
        <v>1.448002653403527</v>
      </c>
      <c r="M114">
        <v>30.79</v>
      </c>
      <c r="N114">
        <v>7.74</v>
      </c>
    </row>
    <row r="115" spans="1:14">
      <c r="A115" s="1" t="s">
        <v>127</v>
      </c>
      <c r="B115">
        <f>HYPERLINK("https://www.suredividend.com/sure-analysis-research-database/","Avalo Therapeutics Inc")</f>
        <v>0</v>
      </c>
      <c r="C115" t="s">
        <v>1921</v>
      </c>
      <c r="D115">
        <v>4.94</v>
      </c>
      <c r="E115">
        <v>0</v>
      </c>
      <c r="F115" t="s">
        <v>1921</v>
      </c>
      <c r="G115" t="s">
        <v>1921</v>
      </c>
      <c r="H115">
        <v>0</v>
      </c>
      <c r="I115">
        <v>46.505674</v>
      </c>
      <c r="J115">
        <v>0</v>
      </c>
      <c r="K115" t="s">
        <v>1921</v>
      </c>
      <c r="L115">
        <v>0.56767485235944</v>
      </c>
      <c r="M115">
        <v>12.72</v>
      </c>
      <c r="N115">
        <v>2.42</v>
      </c>
    </row>
    <row r="116" spans="1:14">
      <c r="A116" s="1" t="s">
        <v>128</v>
      </c>
      <c r="B116">
        <f>HYPERLINK("https://www.suredividend.com/sure-analysis-research-database/","Anavex Life Sciences Corporation")</f>
        <v>0</v>
      </c>
      <c r="C116" t="s">
        <v>1922</v>
      </c>
      <c r="D116">
        <v>9.85</v>
      </c>
      <c r="E116">
        <v>0</v>
      </c>
      <c r="F116" t="s">
        <v>1921</v>
      </c>
      <c r="G116" t="s">
        <v>1921</v>
      </c>
      <c r="H116">
        <v>0</v>
      </c>
      <c r="I116">
        <v>767.9238779999999</v>
      </c>
      <c r="J116">
        <v>0</v>
      </c>
      <c r="K116" t="s">
        <v>1921</v>
      </c>
      <c r="L116">
        <v>2.013230545203003</v>
      </c>
      <c r="M116">
        <v>15.57</v>
      </c>
      <c r="N116">
        <v>7.13</v>
      </c>
    </row>
    <row r="117" spans="1:14">
      <c r="A117" s="1" t="s">
        <v>129</v>
      </c>
      <c r="B117">
        <f>HYPERLINK("https://www.suredividend.com/sure-analysis-research-database/","Avaya Holdings Corp.")</f>
        <v>0</v>
      </c>
      <c r="C117" t="s">
        <v>1920</v>
      </c>
      <c r="D117">
        <v>0.204</v>
      </c>
      <c r="E117">
        <v>0</v>
      </c>
      <c r="F117" t="s">
        <v>1921</v>
      </c>
      <c r="G117" t="s">
        <v>1921</v>
      </c>
      <c r="H117">
        <v>0</v>
      </c>
      <c r="I117">
        <v>17.510658</v>
      </c>
      <c r="J117">
        <v>0</v>
      </c>
      <c r="K117" t="s">
        <v>1921</v>
      </c>
      <c r="L117">
        <v>1.595873455317674</v>
      </c>
      <c r="M117">
        <v>20.89</v>
      </c>
      <c r="N117">
        <v>0.121</v>
      </c>
    </row>
    <row r="118" spans="1:14">
      <c r="A118" s="1" t="s">
        <v>130</v>
      </c>
      <c r="B118">
        <f>HYPERLINK("https://www.suredividend.com/sure-analysis-research-database/","Aspira Women`s Health Inc")</f>
        <v>0</v>
      </c>
      <c r="C118" t="s">
        <v>1921</v>
      </c>
      <c r="D118">
        <v>0.41</v>
      </c>
      <c r="E118">
        <v>0</v>
      </c>
      <c r="F118" t="s">
        <v>1921</v>
      </c>
      <c r="G118" t="s">
        <v>1921</v>
      </c>
      <c r="H118">
        <v>0</v>
      </c>
      <c r="I118">
        <v>51.083904</v>
      </c>
      <c r="J118" t="s">
        <v>1921</v>
      </c>
      <c r="K118">
        <v>-0</v>
      </c>
      <c r="L118">
        <v>1.499152510034094</v>
      </c>
      <c r="M118">
        <v>1.5</v>
      </c>
      <c r="N118">
        <v>0.285</v>
      </c>
    </row>
    <row r="119" spans="1:14">
      <c r="A119" s="1" t="s">
        <v>131</v>
      </c>
      <c r="B119">
        <f>HYPERLINK("https://www.suredividend.com/sure-analysis-AWR/","American States Water Co.")</f>
        <v>0</v>
      </c>
      <c r="C119" t="s">
        <v>1930</v>
      </c>
      <c r="D119">
        <v>93.26000000000001</v>
      </c>
      <c r="E119">
        <v>0.0170491100150118</v>
      </c>
      <c r="F119">
        <v>0.08904109589041109</v>
      </c>
      <c r="G119">
        <v>0.09284706567232748</v>
      </c>
      <c r="H119">
        <v>1.515144145558338</v>
      </c>
      <c r="I119">
        <v>3446.973254</v>
      </c>
      <c r="J119">
        <v>43.12543950531096</v>
      </c>
      <c r="K119">
        <v>0.701455622943675</v>
      </c>
      <c r="L119">
        <v>0.5213229520696331</v>
      </c>
      <c r="M119">
        <v>100.51</v>
      </c>
      <c r="N119">
        <v>70.59</v>
      </c>
    </row>
    <row r="120" spans="1:14">
      <c r="A120" s="1" t="s">
        <v>132</v>
      </c>
      <c r="B120">
        <f>HYPERLINK("https://www.suredividend.com/sure-analysis-research-database/","Axos Financial Inc.")</f>
        <v>0</v>
      </c>
      <c r="C120" t="s">
        <v>1923</v>
      </c>
      <c r="D120">
        <v>38.62</v>
      </c>
      <c r="E120">
        <v>0</v>
      </c>
      <c r="F120" t="s">
        <v>1921</v>
      </c>
      <c r="G120" t="s">
        <v>1921</v>
      </c>
      <c r="H120">
        <v>0</v>
      </c>
      <c r="I120">
        <v>2317.174472</v>
      </c>
      <c r="J120">
        <v>9.698821211821876</v>
      </c>
      <c r="K120">
        <v>0</v>
      </c>
      <c r="L120">
        <v>1.239982224188218</v>
      </c>
      <c r="M120">
        <v>61.79</v>
      </c>
      <c r="N120">
        <v>33.91</v>
      </c>
    </row>
    <row r="121" spans="1:14">
      <c r="A121" s="1" t="s">
        <v>133</v>
      </c>
      <c r="B121">
        <f>HYPERLINK("https://www.suredividend.com/sure-analysis-research-database/","Accelerate Diagnostics Inc")</f>
        <v>0</v>
      </c>
      <c r="C121" t="s">
        <v>1922</v>
      </c>
      <c r="D121">
        <v>0.6363</v>
      </c>
      <c r="E121">
        <v>0</v>
      </c>
      <c r="F121" t="s">
        <v>1921</v>
      </c>
      <c r="G121" t="s">
        <v>1921</v>
      </c>
      <c r="H121">
        <v>0</v>
      </c>
      <c r="I121">
        <v>51.896582</v>
      </c>
      <c r="J121">
        <v>0</v>
      </c>
      <c r="K121" t="s">
        <v>1921</v>
      </c>
      <c r="L121">
        <v>1.452183571198936</v>
      </c>
      <c r="M121">
        <v>4.58</v>
      </c>
      <c r="N121">
        <v>0.4642</v>
      </c>
    </row>
    <row r="122" spans="1:14">
      <c r="A122" s="1" t="s">
        <v>134</v>
      </c>
      <c r="B122">
        <f>HYPERLINK("https://www.suredividend.com/sure-analysis-research-database/","Axogen Inc.")</f>
        <v>0</v>
      </c>
      <c r="C122" t="s">
        <v>1922</v>
      </c>
      <c r="D122">
        <v>10.75</v>
      </c>
      <c r="E122">
        <v>0</v>
      </c>
      <c r="F122" t="s">
        <v>1921</v>
      </c>
      <c r="G122" t="s">
        <v>1921</v>
      </c>
      <c r="H122">
        <v>0</v>
      </c>
      <c r="I122">
        <v>454.580843</v>
      </c>
      <c r="J122">
        <v>0</v>
      </c>
      <c r="K122" t="s">
        <v>1921</v>
      </c>
      <c r="L122">
        <v>1.240710677458677</v>
      </c>
      <c r="M122">
        <v>13.66</v>
      </c>
      <c r="N122">
        <v>6.87</v>
      </c>
    </row>
    <row r="123" spans="1:14">
      <c r="A123" s="1" t="s">
        <v>135</v>
      </c>
      <c r="B123">
        <f>HYPERLINK("https://www.suredividend.com/sure-analysis-research-database/","American Axle &amp; Manufacturing Holdings Inc")</f>
        <v>0</v>
      </c>
      <c r="C123" t="s">
        <v>1927</v>
      </c>
      <c r="D123">
        <v>8.609999999999999</v>
      </c>
      <c r="E123">
        <v>0</v>
      </c>
      <c r="F123" t="s">
        <v>1921</v>
      </c>
      <c r="G123" t="s">
        <v>1921</v>
      </c>
      <c r="H123">
        <v>0</v>
      </c>
      <c r="I123">
        <v>986.311912</v>
      </c>
      <c r="J123">
        <v>246.5779779225</v>
      </c>
      <c r="K123">
        <v>0</v>
      </c>
      <c r="L123">
        <v>1.587431363142884</v>
      </c>
      <c r="M123">
        <v>11.96</v>
      </c>
      <c r="N123">
        <v>6.36</v>
      </c>
    </row>
    <row r="124" spans="1:14">
      <c r="A124" s="1" t="s">
        <v>136</v>
      </c>
      <c r="B124">
        <f>HYPERLINK("https://www.suredividend.com/sure-analysis-research-database/","Axonics Inc")</f>
        <v>0</v>
      </c>
      <c r="C124" t="s">
        <v>1922</v>
      </c>
      <c r="D124">
        <v>55.03</v>
      </c>
      <c r="E124">
        <v>0</v>
      </c>
      <c r="F124" t="s">
        <v>1921</v>
      </c>
      <c r="G124" t="s">
        <v>1921</v>
      </c>
      <c r="H124">
        <v>0</v>
      </c>
      <c r="I124">
        <v>2725.634304</v>
      </c>
      <c r="J124">
        <v>0</v>
      </c>
      <c r="K124" t="s">
        <v>1921</v>
      </c>
      <c r="L124">
        <v>1.41050066386515</v>
      </c>
      <c r="M124">
        <v>79.92</v>
      </c>
      <c r="N124">
        <v>38.41</v>
      </c>
    </row>
    <row r="125" spans="1:14">
      <c r="A125" s="1" t="s">
        <v>137</v>
      </c>
      <c r="B125">
        <f>HYPERLINK("https://www.suredividend.com/sure-analysis-research-database/","Axsome Therapeutics Inc")</f>
        <v>0</v>
      </c>
      <c r="C125" t="s">
        <v>1922</v>
      </c>
      <c r="D125">
        <v>63.32</v>
      </c>
      <c r="E125">
        <v>0</v>
      </c>
      <c r="F125" t="s">
        <v>1921</v>
      </c>
      <c r="G125" t="s">
        <v>1921</v>
      </c>
      <c r="H125">
        <v>0</v>
      </c>
      <c r="I125">
        <v>2749.744578</v>
      </c>
      <c r="J125">
        <v>0</v>
      </c>
      <c r="K125" t="s">
        <v>1921</v>
      </c>
      <c r="L125">
        <v>1.095073043142388</v>
      </c>
      <c r="M125">
        <v>82</v>
      </c>
      <c r="N125">
        <v>20.63</v>
      </c>
    </row>
    <row r="126" spans="1:14">
      <c r="A126" s="1" t="s">
        <v>138</v>
      </c>
      <c r="B126">
        <f>HYPERLINK("https://www.suredividend.com/sure-analysis-research-database/","AXT Inc")</f>
        <v>0</v>
      </c>
      <c r="C126" t="s">
        <v>1920</v>
      </c>
      <c r="D126">
        <v>4.9</v>
      </c>
      <c r="E126">
        <v>0</v>
      </c>
      <c r="F126" t="s">
        <v>1921</v>
      </c>
      <c r="G126" t="s">
        <v>1921</v>
      </c>
      <c r="H126">
        <v>0</v>
      </c>
      <c r="I126">
        <v>213.411582</v>
      </c>
      <c r="J126">
        <v>12.33450361807884</v>
      </c>
      <c r="K126">
        <v>0</v>
      </c>
      <c r="L126">
        <v>1.427161825571853</v>
      </c>
      <c r="M126">
        <v>9.94</v>
      </c>
      <c r="N126">
        <v>4.17</v>
      </c>
    </row>
    <row r="127" spans="1:14">
      <c r="A127" s="1" t="s">
        <v>139</v>
      </c>
      <c r="B127">
        <f>HYPERLINK("https://www.suredividend.com/sure-analysis-research-database/","AZZ Inc")</f>
        <v>0</v>
      </c>
      <c r="C127" t="s">
        <v>1924</v>
      </c>
      <c r="D127">
        <v>42.21</v>
      </c>
      <c r="E127">
        <v>0.016001098843256</v>
      </c>
      <c r="F127">
        <v>0</v>
      </c>
      <c r="G127">
        <v>0</v>
      </c>
      <c r="H127">
        <v>0.6754063821738581</v>
      </c>
      <c r="I127">
        <v>1049.434939</v>
      </c>
      <c r="J127">
        <v>128.3869512295082</v>
      </c>
      <c r="K127">
        <v>2.161300422956346</v>
      </c>
      <c r="L127">
        <v>0.8919277690315061</v>
      </c>
      <c r="M127">
        <v>52.64</v>
      </c>
      <c r="N127">
        <v>30.06</v>
      </c>
    </row>
    <row r="128" spans="1:14">
      <c r="A128" s="1" t="s">
        <v>140</v>
      </c>
      <c r="B128">
        <f>HYPERLINK("https://www.suredividend.com/sure-analysis-research-database/","Barnes Group Inc.")</f>
        <v>0</v>
      </c>
      <c r="C128" t="s">
        <v>1924</v>
      </c>
      <c r="D128">
        <v>42.69</v>
      </c>
      <c r="E128">
        <v>0.014892360226471</v>
      </c>
      <c r="F128">
        <v>0</v>
      </c>
      <c r="G128">
        <v>0.02706608708935176</v>
      </c>
      <c r="H128">
        <v>0.6357548580680521</v>
      </c>
      <c r="I128">
        <v>2158.783737</v>
      </c>
      <c r="J128">
        <v>82.87713977695023</v>
      </c>
      <c r="K128">
        <v>1.246578153074612</v>
      </c>
      <c r="L128">
        <v>0.9004047655618651</v>
      </c>
      <c r="M128">
        <v>47.66</v>
      </c>
      <c r="N128">
        <v>27.82</v>
      </c>
    </row>
    <row r="129" spans="1:14">
      <c r="A129" s="1" t="s">
        <v>141</v>
      </c>
      <c r="B129">
        <f>HYPERLINK("https://www.suredividend.com/sure-analysis-research-database/","Ballys Corporation")</f>
        <v>0</v>
      </c>
      <c r="C129" t="s">
        <v>1921</v>
      </c>
      <c r="D129">
        <v>19.72</v>
      </c>
      <c r="E129">
        <v>0</v>
      </c>
      <c r="F129" t="s">
        <v>1921</v>
      </c>
      <c r="G129" t="s">
        <v>1921</v>
      </c>
      <c r="H129">
        <v>0</v>
      </c>
      <c r="I129">
        <v>1072.045676</v>
      </c>
      <c r="J129">
        <v>0</v>
      </c>
      <c r="K129" t="s">
        <v>1921</v>
      </c>
      <c r="L129">
        <v>1.45094011847119</v>
      </c>
      <c r="M129">
        <v>38.17</v>
      </c>
      <c r="N129">
        <v>17.54</v>
      </c>
    </row>
    <row r="130" spans="1:14">
      <c r="A130" s="1" t="s">
        <v>142</v>
      </c>
      <c r="B130">
        <f>HYPERLINK("https://www.suredividend.com/sure-analysis-research-database/","Banc of California Inc")</f>
        <v>0</v>
      </c>
      <c r="C130" t="s">
        <v>1923</v>
      </c>
      <c r="D130">
        <v>16.79</v>
      </c>
      <c r="E130">
        <v>0.014216149787976</v>
      </c>
      <c r="F130">
        <v>0</v>
      </c>
      <c r="G130">
        <v>-0.1432747249506905</v>
      </c>
      <c r="H130">
        <v>0.238689154940129</v>
      </c>
      <c r="I130">
        <v>1002.05675</v>
      </c>
      <c r="J130">
        <v>10.20164673351998</v>
      </c>
      <c r="K130">
        <v>0.1501189653711503</v>
      </c>
      <c r="L130">
        <v>0.8267843352530071</v>
      </c>
      <c r="M130">
        <v>21.71</v>
      </c>
      <c r="N130">
        <v>14.86</v>
      </c>
    </row>
    <row r="131" spans="1:14">
      <c r="A131" s="1" t="s">
        <v>143</v>
      </c>
      <c r="B131">
        <f>HYPERLINK("https://www.suredividend.com/sure-analysis-research-database/","Bandwidth Inc")</f>
        <v>0</v>
      </c>
      <c r="C131" t="s">
        <v>1920</v>
      </c>
      <c r="D131">
        <v>22.06</v>
      </c>
      <c r="E131">
        <v>0</v>
      </c>
      <c r="F131" t="s">
        <v>1921</v>
      </c>
      <c r="G131" t="s">
        <v>1921</v>
      </c>
      <c r="H131">
        <v>0</v>
      </c>
      <c r="I131">
        <v>515.305386</v>
      </c>
      <c r="J131" t="s">
        <v>1921</v>
      </c>
      <c r="K131">
        <v>-0</v>
      </c>
      <c r="L131">
        <v>1.854972008402994</v>
      </c>
      <c r="M131">
        <v>73.47</v>
      </c>
      <c r="N131">
        <v>9.199999999999999</v>
      </c>
    </row>
    <row r="132" spans="1:14">
      <c r="A132" s="1" t="s">
        <v>144</v>
      </c>
      <c r="B132">
        <f>HYPERLINK("https://www.suredividend.com/sure-analysis-BANF/","Bancfirst Corp.")</f>
        <v>0</v>
      </c>
      <c r="C132" t="s">
        <v>1923</v>
      </c>
      <c r="D132">
        <v>83.48</v>
      </c>
      <c r="E132">
        <v>0.01820795400095831</v>
      </c>
      <c r="F132">
        <v>0.1111111111111112</v>
      </c>
      <c r="G132">
        <v>0.137543830351883</v>
      </c>
      <c r="H132">
        <v>1.510451822488914</v>
      </c>
      <c r="I132">
        <v>2744.03485</v>
      </c>
      <c r="J132">
        <v>15.75745569523722</v>
      </c>
      <c r="K132">
        <v>0.2893585866837</v>
      </c>
      <c r="L132">
        <v>0.489357076681899</v>
      </c>
      <c r="M132">
        <v>117.02</v>
      </c>
      <c r="N132">
        <v>70.47</v>
      </c>
    </row>
    <row r="133" spans="1:14">
      <c r="A133" s="1" t="s">
        <v>145</v>
      </c>
      <c r="B133">
        <f>HYPERLINK("https://www.suredividend.com/sure-analysis-research-database/","Banner Corp.")</f>
        <v>0</v>
      </c>
      <c r="C133" t="s">
        <v>1923</v>
      </c>
      <c r="D133">
        <v>62.55</v>
      </c>
      <c r="E133">
        <v>0.027851666919449</v>
      </c>
      <c r="F133">
        <v>0.07317073170731692</v>
      </c>
      <c r="G133">
        <v>-0.02524261446920795</v>
      </c>
      <c r="H133">
        <v>1.742121765811594</v>
      </c>
      <c r="I133">
        <v>2138.611334</v>
      </c>
      <c r="J133">
        <v>11.20131640146654</v>
      </c>
      <c r="K133">
        <v>0.3156017691687671</v>
      </c>
      <c r="L133">
        <v>0.707416322803327</v>
      </c>
      <c r="M133">
        <v>75.72</v>
      </c>
      <c r="N133">
        <v>51.66</v>
      </c>
    </row>
    <row r="134" spans="1:14">
      <c r="A134" s="1" t="s">
        <v>146</v>
      </c>
      <c r="B134">
        <f>HYPERLINK("https://www.suredividend.com/sure-analysis-research-database/","Couchbase Inc")</f>
        <v>0</v>
      </c>
      <c r="C134" t="s">
        <v>1921</v>
      </c>
      <c r="D134">
        <v>13.56</v>
      </c>
      <c r="E134">
        <v>0</v>
      </c>
      <c r="F134" t="s">
        <v>1921</v>
      </c>
      <c r="G134" t="s">
        <v>1921</v>
      </c>
      <c r="H134">
        <v>0</v>
      </c>
      <c r="I134">
        <v>612.5230309999999</v>
      </c>
      <c r="J134">
        <v>0</v>
      </c>
      <c r="K134" t="s">
        <v>1921</v>
      </c>
      <c r="L134">
        <v>1.813428687029987</v>
      </c>
      <c r="M134">
        <v>25.03</v>
      </c>
      <c r="N134">
        <v>10.19</v>
      </c>
    </row>
    <row r="135" spans="1:14">
      <c r="A135" s="1" t="s">
        <v>147</v>
      </c>
      <c r="B135">
        <f>HYPERLINK("https://www.suredividend.com/sure-analysis-research-database/","Liberty Media Corp.")</f>
        <v>0</v>
      </c>
      <c r="C135" t="s">
        <v>1931</v>
      </c>
      <c r="D135">
        <v>34.11</v>
      </c>
      <c r="E135">
        <v>0</v>
      </c>
      <c r="F135" t="s">
        <v>1921</v>
      </c>
      <c r="G135" t="s">
        <v>1921</v>
      </c>
      <c r="H135">
        <v>0</v>
      </c>
      <c r="I135">
        <v>22371.281891</v>
      </c>
      <c r="J135">
        <v>0</v>
      </c>
      <c r="K135" t="s">
        <v>1921</v>
      </c>
      <c r="L135">
        <v>0.478101911162691</v>
      </c>
      <c r="M135">
        <v>35.04</v>
      </c>
      <c r="N135">
        <v>24.5</v>
      </c>
    </row>
    <row r="136" spans="1:14">
      <c r="A136" s="1" t="s">
        <v>148</v>
      </c>
      <c r="B136">
        <f>HYPERLINK("https://www.suredividend.com/sure-analysis-research-database/","Liberty Media Corp.")</f>
        <v>0</v>
      </c>
      <c r="C136" t="s">
        <v>1931</v>
      </c>
      <c r="D136">
        <v>33.61</v>
      </c>
      <c r="E136">
        <v>0</v>
      </c>
      <c r="F136" t="s">
        <v>1921</v>
      </c>
      <c r="G136" t="s">
        <v>1921</v>
      </c>
      <c r="H136">
        <v>0</v>
      </c>
      <c r="I136">
        <v>22371.281891</v>
      </c>
      <c r="J136">
        <v>0</v>
      </c>
      <c r="K136" t="s">
        <v>1921</v>
      </c>
      <c r="L136">
        <v>0.514649759100826</v>
      </c>
      <c r="M136">
        <v>34.42</v>
      </c>
      <c r="N136">
        <v>23.34</v>
      </c>
    </row>
    <row r="137" spans="1:14">
      <c r="A137" s="1" t="s">
        <v>149</v>
      </c>
      <c r="B137">
        <f>HYPERLINK("https://www.suredividend.com/sure-analysis-research-database/","Bed, Bath &amp; Beyond Inc.")</f>
        <v>0</v>
      </c>
      <c r="C137" t="s">
        <v>1927</v>
      </c>
      <c r="D137">
        <v>1.62</v>
      </c>
      <c r="E137">
        <v>0</v>
      </c>
      <c r="F137" t="s">
        <v>1921</v>
      </c>
      <c r="G137" t="s">
        <v>1921</v>
      </c>
      <c r="H137">
        <v>0</v>
      </c>
      <c r="I137">
        <v>130.187566</v>
      </c>
      <c r="J137" t="s">
        <v>1921</v>
      </c>
      <c r="K137">
        <v>-0</v>
      </c>
      <c r="L137">
        <v>1.849605895222412</v>
      </c>
      <c r="M137">
        <v>30.06</v>
      </c>
      <c r="N137">
        <v>1.27</v>
      </c>
    </row>
    <row r="138" spans="1:14">
      <c r="A138" s="1" t="s">
        <v>150</v>
      </c>
      <c r="B138">
        <f>HYPERLINK("https://www.suredividend.com/sure-analysis-research-database/","Concrete Pumping Holdings Inc")</f>
        <v>0</v>
      </c>
      <c r="C138" t="s">
        <v>1924</v>
      </c>
      <c r="D138">
        <v>5.98</v>
      </c>
      <c r="E138">
        <v>0</v>
      </c>
      <c r="F138" t="s">
        <v>1921</v>
      </c>
      <c r="G138" t="s">
        <v>1921</v>
      </c>
      <c r="H138">
        <v>0</v>
      </c>
      <c r="I138">
        <v>338.467001</v>
      </c>
      <c r="J138">
        <v>0</v>
      </c>
      <c r="K138" t="s">
        <v>1921</v>
      </c>
      <c r="L138">
        <v>0.6000847229781411</v>
      </c>
      <c r="M138">
        <v>8.94</v>
      </c>
      <c r="N138">
        <v>4.64</v>
      </c>
    </row>
    <row r="139" spans="1:14">
      <c r="A139" s="1" t="s">
        <v>151</v>
      </c>
      <c r="B139">
        <f>HYPERLINK("https://www.suredividend.com/sure-analysis-research-database/","BridgeBio Pharma Inc")</f>
        <v>0</v>
      </c>
      <c r="C139" t="s">
        <v>1922</v>
      </c>
      <c r="D139">
        <v>7.45</v>
      </c>
      <c r="E139">
        <v>0</v>
      </c>
      <c r="F139" t="s">
        <v>1921</v>
      </c>
      <c r="G139" t="s">
        <v>1921</v>
      </c>
      <c r="H139">
        <v>0</v>
      </c>
      <c r="I139">
        <v>1113.649348</v>
      </c>
      <c r="J139" t="s">
        <v>1921</v>
      </c>
      <c r="K139">
        <v>-0</v>
      </c>
      <c r="L139">
        <v>2.20200040879189</v>
      </c>
      <c r="M139">
        <v>14.71</v>
      </c>
      <c r="N139">
        <v>4.98</v>
      </c>
    </row>
    <row r="140" spans="1:14">
      <c r="A140" s="1" t="s">
        <v>152</v>
      </c>
      <c r="B140">
        <f>HYPERLINK("https://www.suredividend.com/sure-analysis-research-database/","Barrett Business Services Inc.")</f>
        <v>0</v>
      </c>
      <c r="C140" t="s">
        <v>1924</v>
      </c>
      <c r="D140">
        <v>92.97</v>
      </c>
      <c r="E140">
        <v>0.012840900029548</v>
      </c>
      <c r="F140">
        <v>0</v>
      </c>
      <c r="G140">
        <v>0.03713728933664817</v>
      </c>
      <c r="H140">
        <v>1.193818475747162</v>
      </c>
      <c r="I140">
        <v>647.243938</v>
      </c>
      <c r="J140">
        <v>13.96306550157484</v>
      </c>
      <c r="K140">
        <v>0.1900984833992296</v>
      </c>
      <c r="L140">
        <v>0.610273621603418</v>
      </c>
      <c r="M140">
        <v>100.79</v>
      </c>
      <c r="N140">
        <v>56.91</v>
      </c>
    </row>
    <row r="141" spans="1:14">
      <c r="A141" s="1" t="s">
        <v>153</v>
      </c>
      <c r="B141">
        <f>HYPERLINK("https://www.suredividend.com/sure-analysis-research-database/","BioAtla Inc")</f>
        <v>0</v>
      </c>
      <c r="C141" t="s">
        <v>1921</v>
      </c>
      <c r="D141">
        <v>7.72</v>
      </c>
      <c r="E141">
        <v>0</v>
      </c>
      <c r="F141" t="s">
        <v>1921</v>
      </c>
      <c r="G141" t="s">
        <v>1921</v>
      </c>
      <c r="H141">
        <v>0</v>
      </c>
      <c r="I141">
        <v>280.972009</v>
      </c>
      <c r="J141">
        <v>0</v>
      </c>
      <c r="K141" t="s">
        <v>1921</v>
      </c>
      <c r="L141">
        <v>2.006343430493009</v>
      </c>
      <c r="M141">
        <v>16.27</v>
      </c>
      <c r="N141">
        <v>2.01</v>
      </c>
    </row>
    <row r="142" spans="1:14">
      <c r="A142" s="1" t="s">
        <v>154</v>
      </c>
      <c r="B142">
        <f>HYPERLINK("https://www.suredividend.com/sure-analysis-research-database/","Boise Cascade Co")</f>
        <v>0</v>
      </c>
      <c r="C142" t="s">
        <v>1925</v>
      </c>
      <c r="D142">
        <v>67.02</v>
      </c>
      <c r="E142">
        <v>0.007592022616993</v>
      </c>
      <c r="F142">
        <v>7.333333333333334</v>
      </c>
      <c r="G142">
        <v>0.6186445827673461</v>
      </c>
      <c r="H142">
        <v>0.508817355790928</v>
      </c>
      <c r="I142">
        <v>2643.785457</v>
      </c>
      <c r="J142">
        <v>2.907261879536779</v>
      </c>
      <c r="K142">
        <v>0.02222880540807899</v>
      </c>
      <c r="L142">
        <v>1.254403341510992</v>
      </c>
      <c r="M142">
        <v>84.84</v>
      </c>
      <c r="N142">
        <v>54.94</v>
      </c>
    </row>
    <row r="143" spans="1:14">
      <c r="A143" s="1" t="s">
        <v>155</v>
      </c>
      <c r="B143">
        <f>HYPERLINK("https://www.suredividend.com/sure-analysis-research-database/","Atreca Inc")</f>
        <v>0</v>
      </c>
      <c r="C143" t="s">
        <v>1922</v>
      </c>
      <c r="D143">
        <v>1.37</v>
      </c>
      <c r="E143">
        <v>0</v>
      </c>
      <c r="F143" t="s">
        <v>1921</v>
      </c>
      <c r="G143" t="s">
        <v>1921</v>
      </c>
      <c r="H143">
        <v>0</v>
      </c>
      <c r="I143">
        <v>44.322172</v>
      </c>
      <c r="J143">
        <v>0</v>
      </c>
      <c r="K143" t="s">
        <v>1921</v>
      </c>
      <c r="L143">
        <v>1.384211487404882</v>
      </c>
      <c r="M143">
        <v>5.36</v>
      </c>
      <c r="N143">
        <v>0.7595000000000001</v>
      </c>
    </row>
    <row r="144" spans="1:14">
      <c r="A144" s="1" t="s">
        <v>156</v>
      </c>
      <c r="B144">
        <f>HYPERLINK("https://www.suredividend.com/sure-analysis-research-database/","Brink`s Co.")</f>
        <v>0</v>
      </c>
      <c r="C144" t="s">
        <v>1924</v>
      </c>
      <c r="D144">
        <v>59</v>
      </c>
      <c r="E144">
        <v>0.013488225645574</v>
      </c>
      <c r="F144">
        <v>0</v>
      </c>
      <c r="G144">
        <v>0.05922384104881218</v>
      </c>
      <c r="H144">
        <v>0.7958053130889151</v>
      </c>
      <c r="I144">
        <v>2740.526754</v>
      </c>
      <c r="J144">
        <v>15.64227599315068</v>
      </c>
      <c r="K144">
        <v>0.2186278332661855</v>
      </c>
      <c r="L144">
        <v>0.7719490649933941</v>
      </c>
      <c r="M144">
        <v>72.44</v>
      </c>
      <c r="N144">
        <v>48.21</v>
      </c>
    </row>
    <row r="145" spans="1:14">
      <c r="A145" s="1" t="s">
        <v>157</v>
      </c>
      <c r="B145">
        <f>HYPERLINK("https://www.suredividend.com/sure-analysis-research-database/","Blucora Inc")</f>
        <v>0</v>
      </c>
      <c r="C145" t="s">
        <v>1923</v>
      </c>
      <c r="D145">
        <v>26.26</v>
      </c>
      <c r="E145">
        <v>0</v>
      </c>
      <c r="F145" t="s">
        <v>1921</v>
      </c>
      <c r="G145" t="s">
        <v>1921</v>
      </c>
      <c r="H145">
        <v>0</v>
      </c>
      <c r="I145">
        <v>1257.440221</v>
      </c>
      <c r="J145">
        <v>44.10523399438793</v>
      </c>
      <c r="K145">
        <v>0</v>
      </c>
      <c r="L145">
        <v>0.8474185887280631</v>
      </c>
      <c r="M145">
        <v>27.5</v>
      </c>
      <c r="N145">
        <v>15.1</v>
      </c>
    </row>
    <row r="146" spans="1:14">
      <c r="A146" s="1" t="s">
        <v>158</v>
      </c>
      <c r="B146">
        <f>HYPERLINK("https://www.suredividend.com/sure-analysis-research-database/","Brightcove Inc")</f>
        <v>0</v>
      </c>
      <c r="C146" t="s">
        <v>1920</v>
      </c>
      <c r="D146">
        <v>5.47</v>
      </c>
      <c r="E146">
        <v>0</v>
      </c>
      <c r="F146" t="s">
        <v>1921</v>
      </c>
      <c r="G146" t="s">
        <v>1921</v>
      </c>
      <c r="H146">
        <v>0</v>
      </c>
      <c r="I146">
        <v>230.135027</v>
      </c>
      <c r="J146" t="s">
        <v>1921</v>
      </c>
      <c r="K146">
        <v>-0</v>
      </c>
      <c r="L146">
        <v>0.9543558174994871</v>
      </c>
      <c r="M146">
        <v>10.18</v>
      </c>
      <c r="N146">
        <v>5.12</v>
      </c>
    </row>
    <row r="147" spans="1:14">
      <c r="A147" s="1" t="s">
        <v>159</v>
      </c>
      <c r="B147">
        <f>HYPERLINK("https://www.suredividend.com/sure-analysis-research-database/","Balchem Corp.")</f>
        <v>0</v>
      </c>
      <c r="C147" t="s">
        <v>1925</v>
      </c>
      <c r="D147">
        <v>125.07</v>
      </c>
      <c r="E147">
        <v>0.005676820808685001</v>
      </c>
      <c r="F147" t="s">
        <v>1921</v>
      </c>
      <c r="G147" t="s">
        <v>1921</v>
      </c>
      <c r="H147">
        <v>0.7099999785423271</v>
      </c>
      <c r="I147">
        <v>4019.139709</v>
      </c>
      <c r="J147">
        <v>36.90331198732898</v>
      </c>
      <c r="K147">
        <v>0.2119402921021872</v>
      </c>
      <c r="L147">
        <v>0.8132901478857381</v>
      </c>
      <c r="M147">
        <v>158.04</v>
      </c>
      <c r="N147">
        <v>109.5</v>
      </c>
    </row>
    <row r="148" spans="1:14">
      <c r="A148" s="1" t="s">
        <v>160</v>
      </c>
      <c r="B148">
        <f>HYPERLINK("https://www.suredividend.com/sure-analysis-research-database/","Biocryst Pharmaceuticals Inc.")</f>
        <v>0</v>
      </c>
      <c r="C148" t="s">
        <v>1922</v>
      </c>
      <c r="D148">
        <v>10.63</v>
      </c>
      <c r="E148">
        <v>0</v>
      </c>
      <c r="F148" t="s">
        <v>1921</v>
      </c>
      <c r="G148" t="s">
        <v>1921</v>
      </c>
      <c r="H148">
        <v>0</v>
      </c>
      <c r="I148">
        <v>1981.685366</v>
      </c>
      <c r="J148" t="s">
        <v>1921</v>
      </c>
      <c r="K148">
        <v>-0</v>
      </c>
      <c r="L148">
        <v>1.283768247127248</v>
      </c>
      <c r="M148">
        <v>19.99</v>
      </c>
      <c r="N148">
        <v>7.61</v>
      </c>
    </row>
    <row r="149" spans="1:14">
      <c r="A149" s="1" t="s">
        <v>161</v>
      </c>
      <c r="B149">
        <f>HYPERLINK("https://www.suredividend.com/sure-analysis-research-database/","Belden Inc")</f>
        <v>0</v>
      </c>
      <c r="C149" t="s">
        <v>1924</v>
      </c>
      <c r="D149">
        <v>76.02</v>
      </c>
      <c r="E149">
        <v>0.002627998876473</v>
      </c>
      <c r="F149">
        <v>0</v>
      </c>
      <c r="G149">
        <v>0.3797296614612149</v>
      </c>
      <c r="H149">
        <v>0.199780474589503</v>
      </c>
      <c r="I149">
        <v>3254.085133</v>
      </c>
      <c r="J149">
        <v>22.76746264106852</v>
      </c>
      <c r="K149">
        <v>0.06302223173170442</v>
      </c>
      <c r="L149">
        <v>1.201926805691733</v>
      </c>
      <c r="M149">
        <v>82.78</v>
      </c>
      <c r="N149">
        <v>47.82</v>
      </c>
    </row>
    <row r="150" spans="1:14">
      <c r="A150" s="1" t="s">
        <v>162</v>
      </c>
      <c r="B150">
        <f>HYPERLINK("https://www.suredividend.com/sure-analysis-BDN/","Brandywine Realty Trust")</f>
        <v>0</v>
      </c>
      <c r="C150" t="s">
        <v>1929</v>
      </c>
      <c r="D150">
        <v>6</v>
      </c>
      <c r="E150">
        <v>0.1266666666666667</v>
      </c>
      <c r="F150">
        <v>0</v>
      </c>
      <c r="G150">
        <v>0.01087212085035083</v>
      </c>
      <c r="H150">
        <v>0.733003290485423</v>
      </c>
      <c r="I150">
        <v>1029.418842</v>
      </c>
      <c r="J150">
        <v>36.37779496784225</v>
      </c>
      <c r="K150">
        <v>4.480460210791095</v>
      </c>
      <c r="L150">
        <v>0.9339631911470021</v>
      </c>
      <c r="M150">
        <v>13.64</v>
      </c>
      <c r="N150">
        <v>5.77</v>
      </c>
    </row>
    <row r="151" spans="1:14">
      <c r="A151" s="1" t="s">
        <v>163</v>
      </c>
      <c r="B151">
        <f>HYPERLINK("https://www.suredividend.com/sure-analysis-research-database/","Biodesix Inc")</f>
        <v>0</v>
      </c>
      <c r="C151" t="s">
        <v>1921</v>
      </c>
      <c r="D151">
        <v>2.37</v>
      </c>
      <c r="E151">
        <v>0</v>
      </c>
      <c r="F151" t="s">
        <v>1921</v>
      </c>
      <c r="G151" t="s">
        <v>1921</v>
      </c>
      <c r="H151">
        <v>0</v>
      </c>
      <c r="I151">
        <v>99.761628</v>
      </c>
      <c r="J151">
        <v>0</v>
      </c>
      <c r="K151" t="s">
        <v>1921</v>
      </c>
      <c r="L151">
        <v>1.437630852434573</v>
      </c>
      <c r="M151">
        <v>5.96</v>
      </c>
      <c r="N151">
        <v>0.9550000000000001</v>
      </c>
    </row>
    <row r="152" spans="1:14">
      <c r="A152" s="1" t="s">
        <v>164</v>
      </c>
      <c r="B152">
        <f>HYPERLINK("https://www.suredividend.com/sure-analysis-research-database/","Black Diamond Therapeutics Inc")</f>
        <v>0</v>
      </c>
      <c r="C152" t="s">
        <v>1922</v>
      </c>
      <c r="D152">
        <v>2.2</v>
      </c>
      <c r="E152">
        <v>0</v>
      </c>
      <c r="F152" t="s">
        <v>1921</v>
      </c>
      <c r="G152" t="s">
        <v>1921</v>
      </c>
      <c r="H152">
        <v>0</v>
      </c>
      <c r="I152">
        <v>80.005653</v>
      </c>
      <c r="J152">
        <v>0</v>
      </c>
      <c r="K152" t="s">
        <v>1921</v>
      </c>
      <c r="L152">
        <v>1.192229060777766</v>
      </c>
      <c r="M152">
        <v>5.21</v>
      </c>
      <c r="N152">
        <v>1.18</v>
      </c>
    </row>
    <row r="153" spans="1:14">
      <c r="A153" s="1" t="s">
        <v>165</v>
      </c>
      <c r="B153">
        <f>HYPERLINK("https://www.suredividend.com/sure-analysis-research-database/","Bloom Energy Corp")</f>
        <v>0</v>
      </c>
      <c r="C153" t="s">
        <v>1924</v>
      </c>
      <c r="D153">
        <v>19.89</v>
      </c>
      <c r="E153">
        <v>0</v>
      </c>
      <c r="F153" t="s">
        <v>1921</v>
      </c>
      <c r="G153" t="s">
        <v>1921</v>
      </c>
      <c r="H153">
        <v>0</v>
      </c>
      <c r="I153">
        <v>3567.846838</v>
      </c>
      <c r="J153" t="s">
        <v>1921</v>
      </c>
      <c r="K153">
        <v>-0</v>
      </c>
      <c r="L153">
        <v>1.994727547378603</v>
      </c>
      <c r="M153">
        <v>31.47</v>
      </c>
      <c r="N153">
        <v>11.47</v>
      </c>
    </row>
    <row r="154" spans="1:14">
      <c r="A154" s="1" t="s">
        <v>166</v>
      </c>
      <c r="B154">
        <f>HYPERLINK("https://www.suredividend.com/sure-analysis-research-database/","Beam Therapeutics Inc")</f>
        <v>0</v>
      </c>
      <c r="C154" t="s">
        <v>1922</v>
      </c>
      <c r="D154">
        <v>38.68</v>
      </c>
      <c r="E154">
        <v>0</v>
      </c>
      <c r="F154" t="s">
        <v>1921</v>
      </c>
      <c r="G154" t="s">
        <v>1921</v>
      </c>
      <c r="H154">
        <v>0</v>
      </c>
      <c r="I154">
        <v>2725.739411</v>
      </c>
      <c r="J154" t="s">
        <v>1921</v>
      </c>
      <c r="K154">
        <v>-0</v>
      </c>
      <c r="L154">
        <v>2.29186542485099</v>
      </c>
      <c r="M154">
        <v>80</v>
      </c>
      <c r="N154">
        <v>27.77</v>
      </c>
    </row>
    <row r="155" spans="1:14">
      <c r="A155" s="1" t="s">
        <v>167</v>
      </c>
      <c r="B155">
        <f>HYPERLINK("https://www.suredividend.com/sure-analysis-research-database/","Beacon Roofing Supply Inc")</f>
        <v>0</v>
      </c>
      <c r="C155" t="s">
        <v>1924</v>
      </c>
      <c r="D155">
        <v>52.91</v>
      </c>
      <c r="E155">
        <v>0</v>
      </c>
      <c r="F155" t="s">
        <v>1921</v>
      </c>
      <c r="G155" t="s">
        <v>1921</v>
      </c>
      <c r="H155">
        <v>0</v>
      </c>
      <c r="I155">
        <v>3442.427457</v>
      </c>
      <c r="J155">
        <v>7.388768956943549</v>
      </c>
      <c r="K155">
        <v>0</v>
      </c>
      <c r="L155">
        <v>0.9618925371603471</v>
      </c>
      <c r="M155">
        <v>65.3</v>
      </c>
      <c r="N155">
        <v>45.71</v>
      </c>
    </row>
    <row r="156" spans="1:14">
      <c r="A156" s="1" t="s">
        <v>168</v>
      </c>
      <c r="B156">
        <f>HYPERLINK("https://www.suredividend.com/sure-analysis-research-database/","Beam Global")</f>
        <v>0</v>
      </c>
      <c r="C156" t="s">
        <v>1921</v>
      </c>
      <c r="D156">
        <v>16.24</v>
      </c>
      <c r="E156">
        <v>0</v>
      </c>
      <c r="F156" t="s">
        <v>1921</v>
      </c>
      <c r="G156" t="s">
        <v>1921</v>
      </c>
      <c r="H156">
        <v>0</v>
      </c>
      <c r="I156">
        <v>163.951927</v>
      </c>
      <c r="J156">
        <v>0</v>
      </c>
      <c r="K156" t="s">
        <v>1921</v>
      </c>
      <c r="L156">
        <v>1.486883304203526</v>
      </c>
      <c r="M156">
        <v>26.09</v>
      </c>
      <c r="N156">
        <v>8.9</v>
      </c>
    </row>
    <row r="157" spans="1:14">
      <c r="A157" s="1" t="s">
        <v>169</v>
      </c>
      <c r="B157">
        <f>HYPERLINK("https://www.suredividend.com/sure-analysis-research-database/","Bank First Corp")</f>
        <v>0</v>
      </c>
      <c r="C157" t="s">
        <v>1923</v>
      </c>
      <c r="D157">
        <v>86.81</v>
      </c>
      <c r="E157">
        <v>0.010790907323911</v>
      </c>
      <c r="F157">
        <v>0.1363636363636365</v>
      </c>
      <c r="G157">
        <v>0.09336207394327811</v>
      </c>
      <c r="H157">
        <v>0.9367586647887661</v>
      </c>
      <c r="I157">
        <v>783.806709</v>
      </c>
      <c r="J157">
        <v>0</v>
      </c>
      <c r="K157" t="s">
        <v>1921</v>
      </c>
      <c r="L157">
        <v>0.463535256916865</v>
      </c>
      <c r="M157">
        <v>99.56</v>
      </c>
      <c r="N157">
        <v>67.68000000000001</v>
      </c>
    </row>
    <row r="158" spans="1:14">
      <c r="A158" s="1" t="s">
        <v>170</v>
      </c>
      <c r="B158">
        <f>HYPERLINK("https://www.suredividend.com/sure-analysis-research-database/","Butterfly Network Inc")</f>
        <v>0</v>
      </c>
      <c r="C158" t="s">
        <v>1921</v>
      </c>
      <c r="D158">
        <v>2.28</v>
      </c>
      <c r="E158">
        <v>0</v>
      </c>
      <c r="F158" t="s">
        <v>1921</v>
      </c>
      <c r="G158" t="s">
        <v>1921</v>
      </c>
      <c r="H158">
        <v>0</v>
      </c>
      <c r="I158">
        <v>397.038033</v>
      </c>
      <c r="J158">
        <v>0</v>
      </c>
      <c r="K158" t="s">
        <v>1921</v>
      </c>
      <c r="L158">
        <v>2.153673522897139</v>
      </c>
      <c r="M158">
        <v>8.720000000000001</v>
      </c>
      <c r="N158">
        <v>2.17</v>
      </c>
    </row>
    <row r="159" spans="1:14">
      <c r="A159" s="1" t="s">
        <v>171</v>
      </c>
      <c r="B159">
        <f>HYPERLINK("https://www.suredividend.com/sure-analysis-BFS/","Saul Centers, Inc.")</f>
        <v>0</v>
      </c>
      <c r="C159" t="s">
        <v>1929</v>
      </c>
      <c r="D159">
        <v>39.48</v>
      </c>
      <c r="E159">
        <v>0.05977710233029382</v>
      </c>
      <c r="F159">
        <v>0.07272727272727253</v>
      </c>
      <c r="G159">
        <v>0.02558045007666498</v>
      </c>
      <c r="H159">
        <v>2.273415294180201</v>
      </c>
      <c r="I159">
        <v>943.381904</v>
      </c>
      <c r="J159">
        <v>23.95586347892331</v>
      </c>
      <c r="K159">
        <v>1.377827451018304</v>
      </c>
      <c r="L159">
        <v>0.869139039760575</v>
      </c>
      <c r="M159">
        <v>54.66</v>
      </c>
      <c r="N159">
        <v>35.65</v>
      </c>
    </row>
    <row r="160" spans="1:14">
      <c r="A160" s="1" t="s">
        <v>172</v>
      </c>
      <c r="B160">
        <f>HYPERLINK("https://www.suredividend.com/sure-analysis-research-database/","Business First Bancshares Inc.")</f>
        <v>0</v>
      </c>
      <c r="C160" t="s">
        <v>1923</v>
      </c>
      <c r="D160">
        <v>20.98</v>
      </c>
      <c r="E160">
        <v>0.02270597490217</v>
      </c>
      <c r="F160" t="s">
        <v>1921</v>
      </c>
      <c r="G160" t="s">
        <v>1921</v>
      </c>
      <c r="H160">
        <v>0.476371353447531</v>
      </c>
      <c r="I160">
        <v>526.705753</v>
      </c>
      <c r="J160">
        <v>0</v>
      </c>
      <c r="K160" t="s">
        <v>1921</v>
      </c>
      <c r="L160">
        <v>0.6626478091001351</v>
      </c>
      <c r="M160">
        <v>28.59</v>
      </c>
      <c r="N160">
        <v>19.99</v>
      </c>
    </row>
    <row r="161" spans="1:14">
      <c r="A161" s="1" t="s">
        <v>173</v>
      </c>
      <c r="B161">
        <f>HYPERLINK("https://www.suredividend.com/sure-analysis-research-database/","BGC Partners Inc")</f>
        <v>0</v>
      </c>
      <c r="C161" t="s">
        <v>1923</v>
      </c>
      <c r="D161">
        <v>4.06</v>
      </c>
      <c r="E161">
        <v>0.009814062197469001</v>
      </c>
      <c r="F161">
        <v>0</v>
      </c>
      <c r="G161">
        <v>-0.4390224272769002</v>
      </c>
      <c r="H161">
        <v>0.039845092521727</v>
      </c>
      <c r="I161">
        <v>1314.880743</v>
      </c>
      <c r="J161">
        <v>10.89875869799826</v>
      </c>
      <c r="K161">
        <v>0.1782778188891588</v>
      </c>
      <c r="L161">
        <v>1.186310347850767</v>
      </c>
      <c r="M161">
        <v>4.74</v>
      </c>
      <c r="N161">
        <v>2.99</v>
      </c>
    </row>
    <row r="162" spans="1:14">
      <c r="A162" s="1" t="s">
        <v>174</v>
      </c>
      <c r="B162">
        <f>HYPERLINK("https://www.suredividend.com/sure-analysis-research-database/","Big 5 Sporting Goods Corp")</f>
        <v>0</v>
      </c>
      <c r="C162" t="s">
        <v>1927</v>
      </c>
      <c r="D162">
        <v>9.24</v>
      </c>
      <c r="E162">
        <v>0.105540709248069</v>
      </c>
      <c r="F162">
        <v>0</v>
      </c>
      <c r="G162">
        <v>0.1075663432482901</v>
      </c>
      <c r="H162">
        <v>0.975196153452161</v>
      </c>
      <c r="I162">
        <v>204.983209</v>
      </c>
      <c r="J162">
        <v>4.625907411085033</v>
      </c>
      <c r="K162">
        <v>0.4875980767260805</v>
      </c>
      <c r="L162">
        <v>1.189036228562357</v>
      </c>
      <c r="M162">
        <v>20.24</v>
      </c>
      <c r="N162">
        <v>8.359999999999999</v>
      </c>
    </row>
    <row r="163" spans="1:14">
      <c r="A163" s="1" t="s">
        <v>175</v>
      </c>
      <c r="B163">
        <f>HYPERLINK("https://www.suredividend.com/sure-analysis-BGS/","B&amp;G Foods, Inc")</f>
        <v>0</v>
      </c>
      <c r="C163" t="s">
        <v>1928</v>
      </c>
      <c r="D163">
        <v>12.33</v>
      </c>
      <c r="E163">
        <v>0.06163828061638281</v>
      </c>
      <c r="F163">
        <v>-0.6000000000000001</v>
      </c>
      <c r="G163">
        <v>-0.1638963302313647</v>
      </c>
      <c r="H163">
        <v>1.558052824918864</v>
      </c>
      <c r="I163">
        <v>883.668216</v>
      </c>
      <c r="J163" t="s">
        <v>1921</v>
      </c>
      <c r="K163" t="s">
        <v>1921</v>
      </c>
      <c r="L163">
        <v>0.5120520539779121</v>
      </c>
      <c r="M163">
        <v>31.64</v>
      </c>
      <c r="N163">
        <v>10.81</v>
      </c>
    </row>
    <row r="164" spans="1:14">
      <c r="A164" s="1" t="s">
        <v>176</v>
      </c>
      <c r="B164">
        <f>HYPERLINK("https://www.suredividend.com/sure-analysis-research-database/","Biglari Holdings Inc.")</f>
        <v>0</v>
      </c>
      <c r="C164" t="s">
        <v>1927</v>
      </c>
      <c r="D164">
        <v>142.42</v>
      </c>
      <c r="E164">
        <v>0</v>
      </c>
      <c r="F164" t="s">
        <v>1921</v>
      </c>
      <c r="G164" t="s">
        <v>1921</v>
      </c>
      <c r="H164">
        <v>0</v>
      </c>
      <c r="I164">
        <v>440.247965</v>
      </c>
      <c r="J164" t="s">
        <v>1921</v>
      </c>
      <c r="K164">
        <v>-0</v>
      </c>
      <c r="L164">
        <v>0.647115839728864</v>
      </c>
      <c r="M164">
        <v>167.39</v>
      </c>
      <c r="N164">
        <v>110.56</v>
      </c>
    </row>
    <row r="165" spans="1:14">
      <c r="A165" s="1" t="s">
        <v>177</v>
      </c>
      <c r="B165">
        <f>HYPERLINK("https://www.suredividend.com/sure-analysis-BHB/","Bar Harbor Bankshares Inc")</f>
        <v>0</v>
      </c>
      <c r="C165" t="s">
        <v>1923</v>
      </c>
      <c r="D165">
        <v>31.76</v>
      </c>
      <c r="E165">
        <v>0.0327455919395466</v>
      </c>
      <c r="F165">
        <v>0.08333333333333348</v>
      </c>
      <c r="G165">
        <v>0.0684785450735903</v>
      </c>
      <c r="H165">
        <v>1.006751210286595</v>
      </c>
      <c r="I165">
        <v>478.484091</v>
      </c>
      <c r="J165">
        <v>0</v>
      </c>
      <c r="K165" t="s">
        <v>1921</v>
      </c>
      <c r="L165">
        <v>0.711528654645429</v>
      </c>
      <c r="M165">
        <v>33.11</v>
      </c>
      <c r="N165">
        <v>23.59</v>
      </c>
    </row>
    <row r="166" spans="1:14">
      <c r="A166" s="1" t="s">
        <v>178</v>
      </c>
      <c r="B166">
        <f>HYPERLINK("https://www.suredividend.com/sure-analysis-research-database/","Benchmark Electronics Inc.")</f>
        <v>0</v>
      </c>
      <c r="C166" t="s">
        <v>1920</v>
      </c>
      <c r="D166">
        <v>27.98</v>
      </c>
      <c r="E166">
        <v>0.023358522387755</v>
      </c>
      <c r="F166">
        <v>0</v>
      </c>
      <c r="G166">
        <v>0.01924487649145656</v>
      </c>
      <c r="H166">
        <v>0.6535714564093881</v>
      </c>
      <c r="I166">
        <v>984.230803</v>
      </c>
      <c r="J166">
        <v>16.561456586515</v>
      </c>
      <c r="K166">
        <v>0.3913601535385557</v>
      </c>
      <c r="L166">
        <v>0.799249491366756</v>
      </c>
      <c r="M166">
        <v>29.81</v>
      </c>
      <c r="N166">
        <v>20.84</v>
      </c>
    </row>
    <row r="167" spans="1:14">
      <c r="A167" s="1" t="s">
        <v>179</v>
      </c>
      <c r="B167">
        <f>HYPERLINK("https://www.suredividend.com/sure-analysis-research-database/","Bright Health Group Inc")</f>
        <v>0</v>
      </c>
      <c r="C167" t="s">
        <v>1921</v>
      </c>
      <c r="D167">
        <v>0.6504</v>
      </c>
      <c r="E167">
        <v>0</v>
      </c>
      <c r="F167" t="s">
        <v>1921</v>
      </c>
      <c r="G167" t="s">
        <v>1921</v>
      </c>
      <c r="H167">
        <v>0</v>
      </c>
      <c r="I167">
        <v>409.556193</v>
      </c>
      <c r="J167">
        <v>0</v>
      </c>
      <c r="K167" t="s">
        <v>1921</v>
      </c>
      <c r="L167">
        <v>1.965452926409482</v>
      </c>
      <c r="M167">
        <v>4.06</v>
      </c>
      <c r="N167">
        <v>0.49</v>
      </c>
    </row>
    <row r="168" spans="1:14">
      <c r="A168" s="1" t="s">
        <v>180</v>
      </c>
      <c r="B168">
        <f>HYPERLINK("https://www.suredividend.com/sure-analysis-research-database/","Berkshire Hills Bancorp Inc.")</f>
        <v>0</v>
      </c>
      <c r="C168" t="s">
        <v>1923</v>
      </c>
      <c r="D168">
        <v>30.26</v>
      </c>
      <c r="E168">
        <v>0.01772430995904</v>
      </c>
      <c r="F168">
        <v>0.5</v>
      </c>
      <c r="G168">
        <v>-0.03933943162756326</v>
      </c>
      <c r="H168">
        <v>0.536337619360565</v>
      </c>
      <c r="I168">
        <v>1362.458376</v>
      </c>
      <c r="J168">
        <v>16.55960883027858</v>
      </c>
      <c r="K168">
        <v>0.3047372837275937</v>
      </c>
      <c r="L168">
        <v>0.8012970060055411</v>
      </c>
      <c r="M168">
        <v>31.63</v>
      </c>
      <c r="N168">
        <v>23.38</v>
      </c>
    </row>
    <row r="169" spans="1:14">
      <c r="A169" s="1" t="s">
        <v>181</v>
      </c>
      <c r="B169">
        <f>HYPERLINK("https://www.suredividend.com/sure-analysis-research-database/","Braemar Hotels &amp; Resorts Inc")</f>
        <v>0</v>
      </c>
      <c r="C169" t="s">
        <v>1929</v>
      </c>
      <c r="D169">
        <v>4.37</v>
      </c>
      <c r="E169">
        <v>0.018205478505169</v>
      </c>
      <c r="F169" t="s">
        <v>1921</v>
      </c>
      <c r="G169" t="s">
        <v>1921</v>
      </c>
      <c r="H169">
        <v>0.07955794106758901</v>
      </c>
      <c r="I169">
        <v>312.264254</v>
      </c>
      <c r="J169">
        <v>93.77304921021022</v>
      </c>
      <c r="K169">
        <v>1.988948526689725</v>
      </c>
      <c r="L169">
        <v>1.335371547862236</v>
      </c>
      <c r="M169">
        <v>6.52</v>
      </c>
      <c r="N169">
        <v>3.37</v>
      </c>
    </row>
    <row r="170" spans="1:14">
      <c r="A170" s="1" t="s">
        <v>182</v>
      </c>
      <c r="B170">
        <f>HYPERLINK("https://www.suredividend.com/sure-analysis-research-database/","Biohaven Ltd")</f>
        <v>0</v>
      </c>
      <c r="C170" t="s">
        <v>1922</v>
      </c>
      <c r="D170">
        <v>14.95</v>
      </c>
      <c r="E170">
        <v>0</v>
      </c>
      <c r="F170" t="s">
        <v>1921</v>
      </c>
      <c r="G170" t="s">
        <v>1921</v>
      </c>
      <c r="H170">
        <v>0</v>
      </c>
      <c r="I170">
        <v>1019.006636</v>
      </c>
      <c r="J170">
        <v>0</v>
      </c>
      <c r="K170" t="s">
        <v>1921</v>
      </c>
      <c r="M170">
        <v>17.86</v>
      </c>
      <c r="N170">
        <v>5.54</v>
      </c>
    </row>
    <row r="171" spans="1:14">
      <c r="A171" s="1" t="s">
        <v>183</v>
      </c>
      <c r="B171">
        <f>HYPERLINK("https://www.suredividend.com/sure-analysis-BIG/","Big Lots Inc")</f>
        <v>0</v>
      </c>
      <c r="C171" t="s">
        <v>1928</v>
      </c>
      <c r="D171">
        <v>17.64</v>
      </c>
      <c r="E171">
        <v>0.06802721088435373</v>
      </c>
      <c r="F171">
        <v>0</v>
      </c>
      <c r="G171">
        <v>0</v>
      </c>
      <c r="H171">
        <v>1.172686093218266</v>
      </c>
      <c r="I171">
        <v>510.834379</v>
      </c>
      <c r="J171" t="s">
        <v>1921</v>
      </c>
      <c r="K171" t="s">
        <v>1921</v>
      </c>
      <c r="L171">
        <v>1.457160314932021</v>
      </c>
      <c r="M171">
        <v>43.41</v>
      </c>
      <c r="N171">
        <v>12.87</v>
      </c>
    </row>
    <row r="172" spans="1:14">
      <c r="A172" s="1" t="s">
        <v>184</v>
      </c>
      <c r="B172">
        <f>HYPERLINK("https://www.suredividend.com/sure-analysis-research-database/","BigCommerce Holdings Inc")</f>
        <v>0</v>
      </c>
      <c r="C172" t="s">
        <v>1921</v>
      </c>
      <c r="D172">
        <v>8.85</v>
      </c>
      <c r="E172">
        <v>0</v>
      </c>
      <c r="F172" t="s">
        <v>1921</v>
      </c>
      <c r="G172" t="s">
        <v>1921</v>
      </c>
      <c r="H172">
        <v>0</v>
      </c>
      <c r="I172">
        <v>652.076284</v>
      </c>
      <c r="J172">
        <v>0</v>
      </c>
      <c r="K172" t="s">
        <v>1921</v>
      </c>
      <c r="L172">
        <v>2.152495479288104</v>
      </c>
      <c r="M172">
        <v>34.98</v>
      </c>
      <c r="N172">
        <v>7.75</v>
      </c>
    </row>
    <row r="173" spans="1:14">
      <c r="A173" s="1" t="s">
        <v>185</v>
      </c>
      <c r="B173">
        <f>HYPERLINK("https://www.suredividend.com/sure-analysis-research-database/","Brookfield Infrastructure Corp")</f>
        <v>0</v>
      </c>
      <c r="C173" t="s">
        <v>1923</v>
      </c>
      <c r="D173">
        <v>42.37</v>
      </c>
      <c r="E173">
        <v>0.033600329829201</v>
      </c>
      <c r="F173" t="s">
        <v>1921</v>
      </c>
      <c r="G173" t="s">
        <v>1921</v>
      </c>
      <c r="H173">
        <v>1.423645974863266</v>
      </c>
      <c r="I173">
        <v>4684.75222</v>
      </c>
      <c r="J173">
        <v>0</v>
      </c>
      <c r="K173" t="s">
        <v>1921</v>
      </c>
      <c r="L173">
        <v>0.6311351364104391</v>
      </c>
      <c r="M173">
        <v>52.44</v>
      </c>
      <c r="N173">
        <v>37.25</v>
      </c>
    </row>
    <row r="174" spans="1:14">
      <c r="A174" s="1" t="s">
        <v>186</v>
      </c>
      <c r="B174">
        <f>HYPERLINK("https://www.suredividend.com/sure-analysis-research-database/","BJ`s Wholesale Club Holdings Inc")</f>
        <v>0</v>
      </c>
      <c r="C174" t="s">
        <v>1928</v>
      </c>
      <c r="D174">
        <v>67.3</v>
      </c>
      <c r="E174">
        <v>0</v>
      </c>
      <c r="F174" t="s">
        <v>1921</v>
      </c>
      <c r="G174" t="s">
        <v>1921</v>
      </c>
      <c r="H174">
        <v>0</v>
      </c>
      <c r="I174">
        <v>9090.140739</v>
      </c>
      <c r="J174">
        <v>18.51476929976964</v>
      </c>
      <c r="K174">
        <v>0</v>
      </c>
      <c r="L174">
        <v>0.669733530337096</v>
      </c>
      <c r="M174">
        <v>80.41</v>
      </c>
      <c r="N174">
        <v>51.45</v>
      </c>
    </row>
    <row r="175" spans="1:14">
      <c r="A175" s="1" t="s">
        <v>187</v>
      </c>
      <c r="B175">
        <f>HYPERLINK("https://www.suredividend.com/sure-analysis-research-database/","BJ`s Restaurant Inc.")</f>
        <v>0</v>
      </c>
      <c r="C175" t="s">
        <v>1927</v>
      </c>
      <c r="D175">
        <v>29.12</v>
      </c>
      <c r="E175">
        <v>0</v>
      </c>
      <c r="F175" t="s">
        <v>1921</v>
      </c>
      <c r="G175" t="s">
        <v>1921</v>
      </c>
      <c r="H175">
        <v>0</v>
      </c>
      <c r="I175">
        <v>681.177719</v>
      </c>
      <c r="J175" t="s">
        <v>1921</v>
      </c>
      <c r="K175">
        <v>-0</v>
      </c>
      <c r="L175">
        <v>1.356377360614024</v>
      </c>
      <c r="M175">
        <v>35.59</v>
      </c>
      <c r="N175">
        <v>20.15</v>
      </c>
    </row>
    <row r="176" spans="1:14">
      <c r="A176" s="1" t="s">
        <v>188</v>
      </c>
      <c r="B176">
        <f>HYPERLINK("https://www.suredividend.com/sure-analysis-research-database/","Brookdale Senior Living Inc")</f>
        <v>0</v>
      </c>
      <c r="C176" t="s">
        <v>1922</v>
      </c>
      <c r="D176">
        <v>2.9</v>
      </c>
      <c r="E176">
        <v>0</v>
      </c>
      <c r="F176" t="s">
        <v>1921</v>
      </c>
      <c r="G176" t="s">
        <v>1921</v>
      </c>
      <c r="H176">
        <v>0</v>
      </c>
      <c r="I176">
        <v>541.735994</v>
      </c>
      <c r="J176" t="s">
        <v>1921</v>
      </c>
      <c r="K176">
        <v>-0</v>
      </c>
      <c r="L176">
        <v>0.9561063733384111</v>
      </c>
      <c r="M176">
        <v>7.61</v>
      </c>
      <c r="N176">
        <v>2.61</v>
      </c>
    </row>
    <row r="177" spans="1:14">
      <c r="A177" s="1" t="s">
        <v>189</v>
      </c>
      <c r="B177">
        <f>HYPERLINK("https://www.suredividend.com/sure-analysis-research-database/","Buckle, Inc.")</f>
        <v>0</v>
      </c>
      <c r="C177" t="s">
        <v>1927</v>
      </c>
      <c r="D177">
        <v>47.52</v>
      </c>
      <c r="E177">
        <v>0.02185061709429</v>
      </c>
      <c r="F177">
        <v>0</v>
      </c>
      <c r="G177">
        <v>0.06961037572506878</v>
      </c>
      <c r="H177">
        <v>1.038341324320694</v>
      </c>
      <c r="I177">
        <v>2380.365472</v>
      </c>
      <c r="J177">
        <v>9.494914109430034</v>
      </c>
      <c r="K177">
        <v>0.2052057953202953</v>
      </c>
      <c r="L177">
        <v>1.058937422206001</v>
      </c>
      <c r="M177">
        <v>48.82</v>
      </c>
      <c r="N177">
        <v>25.95</v>
      </c>
    </row>
    <row r="178" spans="1:14">
      <c r="A178" s="1" t="s">
        <v>190</v>
      </c>
      <c r="B178">
        <f>HYPERLINK("https://www.suredividend.com/sure-analysis-BKH/","Black Hills Corporation")</f>
        <v>0</v>
      </c>
      <c r="C178" t="s">
        <v>1930</v>
      </c>
      <c r="D178">
        <v>71.17</v>
      </c>
      <c r="E178">
        <v>0.0351271603203597</v>
      </c>
      <c r="F178">
        <v>0.05042016806722693</v>
      </c>
      <c r="G178">
        <v>0.05642162229904302</v>
      </c>
      <c r="H178">
        <v>2.380004449066032</v>
      </c>
      <c r="I178">
        <v>4631.619693</v>
      </c>
      <c r="J178">
        <v>18.01702925296321</v>
      </c>
      <c r="K178">
        <v>0.5994973423340131</v>
      </c>
      <c r="L178">
        <v>0.4731911108849771</v>
      </c>
      <c r="M178">
        <v>79.04000000000001</v>
      </c>
      <c r="N178">
        <v>58.53</v>
      </c>
    </row>
    <row r="179" spans="1:14">
      <c r="A179" s="1" t="s">
        <v>191</v>
      </c>
      <c r="B179">
        <f>HYPERLINK("https://www.suredividend.com/sure-analysis-research-database/","BankUnited Inc")</f>
        <v>0</v>
      </c>
      <c r="C179" t="s">
        <v>1923</v>
      </c>
      <c r="D179">
        <v>33.96</v>
      </c>
      <c r="E179">
        <v>0.028564924420261</v>
      </c>
      <c r="F179">
        <v>0.08695652173913038</v>
      </c>
      <c r="G179">
        <v>0.03548578845590522</v>
      </c>
      <c r="H179">
        <v>0.970064833312081</v>
      </c>
      <c r="I179">
        <v>2624.092902</v>
      </c>
      <c r="J179">
        <v>7.707515153483974</v>
      </c>
      <c r="K179">
        <v>0.2326294564297557</v>
      </c>
      <c r="L179">
        <v>0.9977735277958961</v>
      </c>
      <c r="M179">
        <v>45.57</v>
      </c>
      <c r="N179">
        <v>31.44</v>
      </c>
    </row>
    <row r="180" spans="1:14">
      <c r="A180" s="1" t="s">
        <v>192</v>
      </c>
      <c r="B180">
        <f>HYPERLINK("https://www.suredividend.com/sure-analysis-research-database/","BlackLine Inc")</f>
        <v>0</v>
      </c>
      <c r="C180" t="s">
        <v>1920</v>
      </c>
      <c r="D180">
        <v>68.88</v>
      </c>
      <c r="E180">
        <v>0</v>
      </c>
      <c r="F180" t="s">
        <v>1921</v>
      </c>
      <c r="G180" t="s">
        <v>1921</v>
      </c>
      <c r="H180">
        <v>0</v>
      </c>
      <c r="I180">
        <v>4117.431012</v>
      </c>
      <c r="J180" t="s">
        <v>1921</v>
      </c>
      <c r="K180">
        <v>-0</v>
      </c>
      <c r="L180">
        <v>1.593162269396482</v>
      </c>
      <c r="M180">
        <v>100.45</v>
      </c>
      <c r="N180">
        <v>48.73</v>
      </c>
    </row>
    <row r="181" spans="1:14">
      <c r="A181" s="1" t="s">
        <v>193</v>
      </c>
      <c r="B181">
        <f>HYPERLINK("https://www.suredividend.com/sure-analysis-research-database/","Blue Bird Corp")</f>
        <v>0</v>
      </c>
      <c r="C181" t="s">
        <v>1927</v>
      </c>
      <c r="D181">
        <v>13.88</v>
      </c>
      <c r="E181">
        <v>0</v>
      </c>
      <c r="F181" t="s">
        <v>1921</v>
      </c>
      <c r="G181" t="s">
        <v>1921</v>
      </c>
      <c r="H181">
        <v>0</v>
      </c>
      <c r="I181">
        <v>444.505765</v>
      </c>
      <c r="J181">
        <v>0</v>
      </c>
      <c r="K181" t="s">
        <v>1921</v>
      </c>
      <c r="L181">
        <v>1.107358982062683</v>
      </c>
      <c r="M181">
        <v>22.1</v>
      </c>
      <c r="N181">
        <v>7.14</v>
      </c>
    </row>
    <row r="182" spans="1:14">
      <c r="A182" s="1" t="s">
        <v>194</v>
      </c>
      <c r="B182">
        <f>HYPERLINK("https://www.suredividend.com/sure-analysis-research-database/","Biolife Solutions Inc")</f>
        <v>0</v>
      </c>
      <c r="C182" t="s">
        <v>1922</v>
      </c>
      <c r="D182">
        <v>20.23</v>
      </c>
      <c r="E182">
        <v>0</v>
      </c>
      <c r="F182" t="s">
        <v>1921</v>
      </c>
      <c r="G182" t="s">
        <v>1921</v>
      </c>
      <c r="H182">
        <v>0</v>
      </c>
      <c r="I182">
        <v>865.156059</v>
      </c>
      <c r="J182">
        <v>0</v>
      </c>
      <c r="K182" t="s">
        <v>1921</v>
      </c>
      <c r="L182">
        <v>2.307113083281746</v>
      </c>
      <c r="M182">
        <v>32.87</v>
      </c>
      <c r="N182">
        <v>10.4</v>
      </c>
    </row>
    <row r="183" spans="1:14">
      <c r="A183" s="1" t="s">
        <v>195</v>
      </c>
      <c r="B183">
        <f>HYPERLINK("https://www.suredividend.com/sure-analysis-research-database/","Blue Foundry Bancorp")</f>
        <v>0</v>
      </c>
      <c r="C183" t="s">
        <v>1921</v>
      </c>
      <c r="D183">
        <v>12.7</v>
      </c>
      <c r="E183">
        <v>0</v>
      </c>
      <c r="F183" t="s">
        <v>1921</v>
      </c>
      <c r="G183" t="s">
        <v>1921</v>
      </c>
      <c r="H183">
        <v>0</v>
      </c>
      <c r="I183">
        <v>354.100409</v>
      </c>
      <c r="J183">
        <v>0</v>
      </c>
      <c r="K183" t="s">
        <v>1921</v>
      </c>
      <c r="L183">
        <v>0.4921684866384891</v>
      </c>
      <c r="M183">
        <v>14.89</v>
      </c>
      <c r="N183">
        <v>11.01</v>
      </c>
    </row>
    <row r="184" spans="1:14">
      <c r="A184" s="1" t="s">
        <v>196</v>
      </c>
      <c r="B184">
        <f>HYPERLINK("https://www.suredividend.com/sure-analysis-research-database/","Berkeley Lights Inc")</f>
        <v>0</v>
      </c>
      <c r="C184" t="s">
        <v>1921</v>
      </c>
      <c r="D184">
        <v>2.65</v>
      </c>
      <c r="E184">
        <v>0</v>
      </c>
      <c r="F184" t="s">
        <v>1921</v>
      </c>
      <c r="G184" t="s">
        <v>1921</v>
      </c>
      <c r="H184">
        <v>0</v>
      </c>
      <c r="I184">
        <v>181.723636</v>
      </c>
      <c r="J184">
        <v>0</v>
      </c>
      <c r="K184" t="s">
        <v>1921</v>
      </c>
      <c r="L184">
        <v>2.100908529841154</v>
      </c>
      <c r="M184">
        <v>10.99</v>
      </c>
      <c r="N184">
        <v>1.83</v>
      </c>
    </row>
    <row r="185" spans="1:14">
      <c r="A185" s="1" t="s">
        <v>197</v>
      </c>
      <c r="B185">
        <f>HYPERLINK("https://www.suredividend.com/sure-analysis-research-database/","Blackbaud Inc")</f>
        <v>0</v>
      </c>
      <c r="C185" t="s">
        <v>1920</v>
      </c>
      <c r="D185">
        <v>61.11</v>
      </c>
      <c r="E185">
        <v>0</v>
      </c>
      <c r="F185" t="s">
        <v>1921</v>
      </c>
      <c r="G185" t="s">
        <v>1921</v>
      </c>
      <c r="H185">
        <v>0</v>
      </c>
      <c r="I185">
        <v>3244.783764</v>
      </c>
      <c r="J185" t="s">
        <v>1921</v>
      </c>
      <c r="K185">
        <v>-0</v>
      </c>
      <c r="L185">
        <v>1.003260214234833</v>
      </c>
      <c r="M185">
        <v>77.91</v>
      </c>
      <c r="N185">
        <v>43.54</v>
      </c>
    </row>
    <row r="186" spans="1:14">
      <c r="A186" s="1" t="s">
        <v>198</v>
      </c>
      <c r="B186">
        <f>HYPERLINK("https://www.suredividend.com/sure-analysis-research-database/","Bloomin Brands Inc")</f>
        <v>0</v>
      </c>
      <c r="C186" t="s">
        <v>1927</v>
      </c>
      <c r="D186">
        <v>22.08</v>
      </c>
      <c r="E186">
        <v>0.025121954678739</v>
      </c>
      <c r="F186" t="s">
        <v>1921</v>
      </c>
      <c r="G186" t="s">
        <v>1921</v>
      </c>
      <c r="H186">
        <v>0.554692759306568</v>
      </c>
      <c r="I186">
        <v>1938.48366</v>
      </c>
      <c r="J186">
        <v>18.53926090530886</v>
      </c>
      <c r="K186">
        <v>0.5184044479500636</v>
      </c>
      <c r="L186">
        <v>1.263755246417538</v>
      </c>
      <c r="M186">
        <v>25.14</v>
      </c>
      <c r="N186">
        <v>15.69</v>
      </c>
    </row>
    <row r="187" spans="1:14">
      <c r="A187" s="1" t="s">
        <v>199</v>
      </c>
      <c r="B187">
        <f>HYPERLINK("https://www.suredividend.com/sure-analysis-research-database/","Blink Charging Co")</f>
        <v>0</v>
      </c>
      <c r="C187" t="s">
        <v>1927</v>
      </c>
      <c r="D187">
        <v>11.68</v>
      </c>
      <c r="E187">
        <v>0</v>
      </c>
      <c r="F187" t="s">
        <v>1921</v>
      </c>
      <c r="G187" t="s">
        <v>1921</v>
      </c>
      <c r="H187">
        <v>0</v>
      </c>
      <c r="I187">
        <v>594.102791</v>
      </c>
      <c r="J187">
        <v>0</v>
      </c>
      <c r="K187" t="s">
        <v>1921</v>
      </c>
      <c r="L187">
        <v>1.85802739945893</v>
      </c>
      <c r="M187">
        <v>29.99</v>
      </c>
      <c r="N187">
        <v>9.85</v>
      </c>
    </row>
    <row r="188" spans="1:14">
      <c r="A188" s="1" t="s">
        <v>200</v>
      </c>
      <c r="B188">
        <f>HYPERLINK("https://www.suredividend.com/sure-analysis-research-database/","Bluebird bio Inc")</f>
        <v>0</v>
      </c>
      <c r="C188" t="s">
        <v>1922</v>
      </c>
      <c r="D188">
        <v>7.54</v>
      </c>
      <c r="E188">
        <v>0</v>
      </c>
      <c r="F188" t="s">
        <v>1921</v>
      </c>
      <c r="G188" t="s">
        <v>1921</v>
      </c>
      <c r="H188">
        <v>0</v>
      </c>
      <c r="I188">
        <v>625.141249</v>
      </c>
      <c r="J188" t="s">
        <v>1921</v>
      </c>
      <c r="K188">
        <v>-0</v>
      </c>
      <c r="M188">
        <v>9.85</v>
      </c>
      <c r="N188">
        <v>2.87</v>
      </c>
    </row>
    <row r="189" spans="1:14">
      <c r="A189" s="1" t="s">
        <v>201</v>
      </c>
      <c r="B189">
        <f>HYPERLINK("https://www.suredividend.com/sure-analysis-research-database/","Banco Latinoamericano De Comercio Exterior SA")</f>
        <v>0</v>
      </c>
      <c r="C189" t="s">
        <v>1923</v>
      </c>
      <c r="D189">
        <v>15.92</v>
      </c>
      <c r="E189">
        <v>0.06035415884174401</v>
      </c>
      <c r="F189">
        <v>0</v>
      </c>
      <c r="G189">
        <v>-0.0827328174886276</v>
      </c>
      <c r="H189">
        <v>0.960838208760564</v>
      </c>
      <c r="I189">
        <v>442.574121</v>
      </c>
      <c r="J189">
        <v>5.458419622846289</v>
      </c>
      <c r="K189">
        <v>0.4328100039462</v>
      </c>
      <c r="L189">
        <v>0.5747454051449461</v>
      </c>
      <c r="M189">
        <v>16.81</v>
      </c>
      <c r="N189">
        <v>11.99</v>
      </c>
    </row>
    <row r="190" spans="1:14">
      <c r="A190" s="1" t="s">
        <v>202</v>
      </c>
      <c r="B190">
        <f>HYPERLINK("https://www.suredividend.com/sure-analysis-research-database/","Biomea Fusion Inc")</f>
        <v>0</v>
      </c>
      <c r="C190" t="s">
        <v>1921</v>
      </c>
      <c r="D190">
        <v>6.8</v>
      </c>
      <c r="E190">
        <v>0</v>
      </c>
      <c r="F190" t="s">
        <v>1921</v>
      </c>
      <c r="G190" t="s">
        <v>1921</v>
      </c>
      <c r="H190">
        <v>0</v>
      </c>
      <c r="I190">
        <v>199.894473</v>
      </c>
      <c r="J190">
        <v>0</v>
      </c>
      <c r="K190" t="s">
        <v>1921</v>
      </c>
      <c r="L190">
        <v>0.8942533664824891</v>
      </c>
      <c r="M190">
        <v>14.2</v>
      </c>
      <c r="N190">
        <v>2.84</v>
      </c>
    </row>
    <row r="191" spans="1:14">
      <c r="A191" s="1" t="s">
        <v>203</v>
      </c>
      <c r="B191">
        <f>HYPERLINK("https://www.suredividend.com/sure-analysis-BMI/","Badger Meter Inc.")</f>
        <v>0</v>
      </c>
      <c r="C191" t="s">
        <v>1924</v>
      </c>
      <c r="D191">
        <v>105.73</v>
      </c>
      <c r="E191">
        <v>0.008512248179324694</v>
      </c>
      <c r="F191">
        <v>0.125</v>
      </c>
      <c r="G191">
        <v>0.1159579570439235</v>
      </c>
      <c r="H191">
        <v>0.8473662711212251</v>
      </c>
      <c r="I191">
        <v>3094.627124</v>
      </c>
      <c r="J191">
        <v>46.72334219754503</v>
      </c>
      <c r="K191">
        <v>0.3749408279297456</v>
      </c>
      <c r="L191">
        <v>0.9722381984993711</v>
      </c>
      <c r="M191">
        <v>120.54</v>
      </c>
      <c r="N191">
        <v>72.89</v>
      </c>
    </row>
    <row r="192" spans="1:14">
      <c r="A192" s="1" t="s">
        <v>204</v>
      </c>
      <c r="B192">
        <f>HYPERLINK("https://www.suredividend.com/sure-analysis-BMRC/","Bank of Marin Bancorp")</f>
        <v>0</v>
      </c>
      <c r="C192" t="s">
        <v>1923</v>
      </c>
      <c r="D192">
        <v>32.41</v>
      </c>
      <c r="E192">
        <v>0.03085467448318421</v>
      </c>
      <c r="F192">
        <v>0.04166666666666674</v>
      </c>
      <c r="G192">
        <v>-0.02924775819909686</v>
      </c>
      <c r="H192">
        <v>0.9694063616188391</v>
      </c>
      <c r="I192">
        <v>519.487671</v>
      </c>
      <c r="J192">
        <v>11.96452408922361</v>
      </c>
      <c r="K192">
        <v>0.356399397653985</v>
      </c>
      <c r="L192">
        <v>0.4909470960285151</v>
      </c>
      <c r="M192">
        <v>38.53</v>
      </c>
      <c r="N192">
        <v>29.39</v>
      </c>
    </row>
    <row r="193" spans="1:14">
      <c r="A193" s="1" t="s">
        <v>205</v>
      </c>
      <c r="B193">
        <f>HYPERLINK("https://www.suredividend.com/sure-analysis-research-database/","Barnes &amp; Noble Education Inc")</f>
        <v>0</v>
      </c>
      <c r="C193" t="s">
        <v>1927</v>
      </c>
      <c r="D193">
        <v>1.92</v>
      </c>
      <c r="E193">
        <v>0</v>
      </c>
      <c r="F193" t="s">
        <v>1921</v>
      </c>
      <c r="G193" t="s">
        <v>1921</v>
      </c>
      <c r="H193">
        <v>0</v>
      </c>
      <c r="I193">
        <v>100.989692</v>
      </c>
      <c r="J193" t="s">
        <v>1921</v>
      </c>
      <c r="K193">
        <v>-0</v>
      </c>
      <c r="L193">
        <v>1.518168916104835</v>
      </c>
      <c r="M193">
        <v>6.7</v>
      </c>
      <c r="N193">
        <v>1.38</v>
      </c>
    </row>
    <row r="194" spans="1:14">
      <c r="A194" s="1" t="s">
        <v>206</v>
      </c>
      <c r="B194">
        <f>HYPERLINK("https://www.suredividend.com/sure-analysis-research-database/","Benefitfocus Inc")</f>
        <v>0</v>
      </c>
      <c r="C194" t="s">
        <v>1920</v>
      </c>
      <c r="D194">
        <v>10.48</v>
      </c>
      <c r="E194">
        <v>0</v>
      </c>
      <c r="F194" t="s">
        <v>1921</v>
      </c>
      <c r="G194" t="s">
        <v>1921</v>
      </c>
      <c r="H194">
        <v>0</v>
      </c>
      <c r="I194">
        <v>360.728077</v>
      </c>
      <c r="J194" t="s">
        <v>1921</v>
      </c>
      <c r="K194">
        <v>-0</v>
      </c>
      <c r="L194">
        <v>0.701409620176347</v>
      </c>
      <c r="M194">
        <v>13.06</v>
      </c>
      <c r="N194">
        <v>5.69</v>
      </c>
    </row>
    <row r="195" spans="1:14">
      <c r="A195" s="1" t="s">
        <v>207</v>
      </c>
      <c r="B195">
        <f>HYPERLINK("https://www.suredividend.com/sure-analysis-research-database/","Bionano Genomics Inc")</f>
        <v>0</v>
      </c>
      <c r="C195" t="s">
        <v>1922</v>
      </c>
      <c r="D195">
        <v>1.55</v>
      </c>
      <c r="E195">
        <v>0</v>
      </c>
      <c r="F195" t="s">
        <v>1921</v>
      </c>
      <c r="G195" t="s">
        <v>1921</v>
      </c>
      <c r="H195">
        <v>0</v>
      </c>
      <c r="I195">
        <v>460.232975</v>
      </c>
      <c r="J195">
        <v>0</v>
      </c>
      <c r="K195" t="s">
        <v>1921</v>
      </c>
      <c r="L195">
        <v>2.544220819998818</v>
      </c>
      <c r="M195">
        <v>4.35</v>
      </c>
      <c r="N195">
        <v>1.16</v>
      </c>
    </row>
    <row r="196" spans="1:14">
      <c r="A196" s="1" t="s">
        <v>208</v>
      </c>
      <c r="B196">
        <f>HYPERLINK("https://www.suredividend.com/sure-analysis-research-database/","Broadstone Net Lease Inc")</f>
        <v>0</v>
      </c>
      <c r="C196" t="s">
        <v>1921</v>
      </c>
      <c r="D196">
        <v>17.37</v>
      </c>
      <c r="E196">
        <v>0.060705282691576</v>
      </c>
      <c r="F196" t="s">
        <v>1921</v>
      </c>
      <c r="G196" t="s">
        <v>1921</v>
      </c>
      <c r="H196">
        <v>1.054450760352677</v>
      </c>
      <c r="I196">
        <v>3007.006664</v>
      </c>
      <c r="J196">
        <v>0</v>
      </c>
      <c r="K196" t="s">
        <v>1921</v>
      </c>
      <c r="L196">
        <v>0.764694620990898</v>
      </c>
      <c r="M196">
        <v>22.97</v>
      </c>
      <c r="N196">
        <v>14.73</v>
      </c>
    </row>
    <row r="197" spans="1:14">
      <c r="A197" s="1" t="s">
        <v>209</v>
      </c>
      <c r="B197">
        <f>HYPERLINK("https://www.suredividend.com/sure-analysis-research-database/","Boston Omaha Corp")</f>
        <v>0</v>
      </c>
      <c r="C197" t="s">
        <v>1921</v>
      </c>
      <c r="D197">
        <v>27.38</v>
      </c>
      <c r="E197">
        <v>0</v>
      </c>
      <c r="F197" t="s">
        <v>1921</v>
      </c>
      <c r="G197" t="s">
        <v>1921</v>
      </c>
      <c r="H197">
        <v>0</v>
      </c>
      <c r="I197">
        <v>784.2398909999999</v>
      </c>
      <c r="J197">
        <v>0</v>
      </c>
      <c r="K197" t="s">
        <v>1921</v>
      </c>
      <c r="L197">
        <v>1.200043178968746</v>
      </c>
      <c r="M197">
        <v>30.94</v>
      </c>
      <c r="N197">
        <v>18.68</v>
      </c>
    </row>
    <row r="198" spans="1:14">
      <c r="A198" s="1" t="s">
        <v>210</v>
      </c>
      <c r="B198">
        <f>HYPERLINK("https://www.suredividend.com/sure-analysis-research-database/","Bolt Biotherapeutics Inc")</f>
        <v>0</v>
      </c>
      <c r="C198" t="s">
        <v>1921</v>
      </c>
      <c r="D198">
        <v>1.46</v>
      </c>
      <c r="E198">
        <v>0</v>
      </c>
      <c r="F198" t="s">
        <v>1921</v>
      </c>
      <c r="G198" t="s">
        <v>1921</v>
      </c>
      <c r="H198">
        <v>0</v>
      </c>
      <c r="I198">
        <v>54.984904</v>
      </c>
      <c r="J198">
        <v>0</v>
      </c>
      <c r="K198" t="s">
        <v>1921</v>
      </c>
      <c r="L198">
        <v>0.887562088238199</v>
      </c>
      <c r="M198">
        <v>4.1</v>
      </c>
      <c r="N198">
        <v>1.18</v>
      </c>
    </row>
    <row r="199" spans="1:14">
      <c r="A199" s="1" t="s">
        <v>211</v>
      </c>
      <c r="B199">
        <f>HYPERLINK("https://www.suredividend.com/sure-analysis-research-database/","DMC Global Inc")</f>
        <v>0</v>
      </c>
      <c r="C199" t="s">
        <v>1926</v>
      </c>
      <c r="D199">
        <v>19.19</v>
      </c>
      <c r="E199">
        <v>0</v>
      </c>
      <c r="F199" t="s">
        <v>1921</v>
      </c>
      <c r="G199" t="s">
        <v>1921</v>
      </c>
      <c r="H199">
        <v>0</v>
      </c>
      <c r="I199">
        <v>374.773868</v>
      </c>
      <c r="J199" t="s">
        <v>1921</v>
      </c>
      <c r="K199">
        <v>-0</v>
      </c>
      <c r="L199">
        <v>1.395407332812128</v>
      </c>
      <c r="M199">
        <v>47.01</v>
      </c>
      <c r="N199">
        <v>13.95</v>
      </c>
    </row>
    <row r="200" spans="1:14">
      <c r="A200" s="1" t="s">
        <v>212</v>
      </c>
      <c r="B200">
        <f>HYPERLINK("https://www.suredividend.com/sure-analysis-research-database/","Boot Barn Holdings Inc")</f>
        <v>0</v>
      </c>
      <c r="C200" t="s">
        <v>1927</v>
      </c>
      <c r="D200">
        <v>68.44</v>
      </c>
      <c r="E200">
        <v>0</v>
      </c>
      <c r="F200" t="s">
        <v>1921</v>
      </c>
      <c r="G200" t="s">
        <v>1921</v>
      </c>
      <c r="H200">
        <v>0</v>
      </c>
      <c r="I200">
        <v>2040.297691</v>
      </c>
      <c r="J200">
        <v>11.00983018843489</v>
      </c>
      <c r="K200">
        <v>0</v>
      </c>
      <c r="L200">
        <v>1.569685058861597</v>
      </c>
      <c r="M200">
        <v>119.47</v>
      </c>
      <c r="N200">
        <v>50.2</v>
      </c>
    </row>
    <row r="201" spans="1:14">
      <c r="A201" s="1" t="s">
        <v>213</v>
      </c>
      <c r="B201">
        <f>HYPERLINK("https://www.suredividend.com/sure-analysis-research-database/","Box Inc")</f>
        <v>0</v>
      </c>
      <c r="C201" t="s">
        <v>1920</v>
      </c>
      <c r="D201">
        <v>29.84</v>
      </c>
      <c r="E201">
        <v>0</v>
      </c>
      <c r="F201" t="s">
        <v>1921</v>
      </c>
      <c r="G201" t="s">
        <v>1921</v>
      </c>
      <c r="H201">
        <v>0</v>
      </c>
      <c r="I201">
        <v>4264.577901</v>
      </c>
      <c r="J201" t="s">
        <v>1921</v>
      </c>
      <c r="K201">
        <v>-0</v>
      </c>
      <c r="L201">
        <v>1.0547374557798</v>
      </c>
      <c r="M201">
        <v>33.04</v>
      </c>
      <c r="N201">
        <v>22.31</v>
      </c>
    </row>
    <row r="202" spans="1:14">
      <c r="A202" s="1" t="s">
        <v>214</v>
      </c>
      <c r="B202">
        <f>HYPERLINK("https://www.suredividend.com/sure-analysis-research-database/","Blueprint Medicines Corp")</f>
        <v>0</v>
      </c>
      <c r="C202" t="s">
        <v>1922</v>
      </c>
      <c r="D202">
        <v>45.78</v>
      </c>
      <c r="E202">
        <v>0</v>
      </c>
      <c r="F202" t="s">
        <v>1921</v>
      </c>
      <c r="G202" t="s">
        <v>1921</v>
      </c>
      <c r="H202">
        <v>0</v>
      </c>
      <c r="I202">
        <v>2739.045372</v>
      </c>
      <c r="J202" t="s">
        <v>1921</v>
      </c>
      <c r="K202">
        <v>-0</v>
      </c>
      <c r="L202">
        <v>1.290800743069548</v>
      </c>
      <c r="M202">
        <v>87.66</v>
      </c>
      <c r="N202">
        <v>40.78</v>
      </c>
    </row>
    <row r="203" spans="1:14">
      <c r="A203" s="1" t="s">
        <v>215</v>
      </c>
      <c r="B203">
        <f>HYPERLINK("https://www.suredividend.com/sure-analysis-research-database/","Bellring Brands Inc")</f>
        <v>0</v>
      </c>
      <c r="C203" t="s">
        <v>1928</v>
      </c>
      <c r="D203">
        <v>26.19</v>
      </c>
      <c r="E203">
        <v>0</v>
      </c>
      <c r="F203" t="s">
        <v>1921</v>
      </c>
      <c r="G203" t="s">
        <v>1921</v>
      </c>
      <c r="H203">
        <v>0</v>
      </c>
      <c r="I203">
        <v>3520.609764</v>
      </c>
      <c r="J203">
        <v>0</v>
      </c>
      <c r="K203" t="s">
        <v>1921</v>
      </c>
      <c r="M203">
        <v>27.39</v>
      </c>
      <c r="N203">
        <v>20.2</v>
      </c>
    </row>
    <row r="204" spans="1:14">
      <c r="A204" s="1" t="s">
        <v>216</v>
      </c>
      <c r="B204">
        <f>HYPERLINK("https://www.suredividend.com/sure-analysis-research-database/","Blue Ridge Bankshares Inc (VA)")</f>
        <v>0</v>
      </c>
      <c r="C204" t="s">
        <v>1923</v>
      </c>
      <c r="D204">
        <v>12.4</v>
      </c>
      <c r="E204">
        <v>0.038792113409404</v>
      </c>
      <c r="F204">
        <v>0.02083333333333348</v>
      </c>
      <c r="G204">
        <v>0.004132372241226756</v>
      </c>
      <c r="H204">
        <v>0.481022206276615</v>
      </c>
      <c r="I204">
        <v>234.933723</v>
      </c>
      <c r="J204">
        <v>0</v>
      </c>
      <c r="K204" t="s">
        <v>1921</v>
      </c>
      <c r="L204">
        <v>0.5358798792864761</v>
      </c>
      <c r="M204">
        <v>18.02</v>
      </c>
      <c r="N204">
        <v>11.71</v>
      </c>
    </row>
    <row r="205" spans="1:14">
      <c r="A205" s="1" t="s">
        <v>217</v>
      </c>
      <c r="B205">
        <f>HYPERLINK("https://www.suredividend.com/sure-analysis-BRC/","Brady Corp.")</f>
        <v>0</v>
      </c>
      <c r="C205" t="s">
        <v>1924</v>
      </c>
      <c r="D205">
        <v>47.82</v>
      </c>
      <c r="E205">
        <v>0.01923881221246341</v>
      </c>
      <c r="F205">
        <v>0.02222222222222214</v>
      </c>
      <c r="G205">
        <v>0.02080302181960847</v>
      </c>
      <c r="H205">
        <v>0.9032600256029931</v>
      </c>
      <c r="I205">
        <v>2217.906424</v>
      </c>
      <c r="J205">
        <v>14.86851351630377</v>
      </c>
      <c r="K205">
        <v>0.3125467216619353</v>
      </c>
      <c r="L205">
        <v>0.7019985213874721</v>
      </c>
      <c r="M205">
        <v>53.14</v>
      </c>
      <c r="N205">
        <v>40.32</v>
      </c>
    </row>
    <row r="206" spans="1:14">
      <c r="A206" s="1" t="s">
        <v>218</v>
      </c>
      <c r="B206">
        <f>HYPERLINK("https://www.suredividend.com/sure-analysis-research-database/","Brookline Bancorp, Inc.")</f>
        <v>0</v>
      </c>
      <c r="C206" t="s">
        <v>1923</v>
      </c>
      <c r="D206">
        <v>13.83</v>
      </c>
      <c r="E206">
        <v>0.036690918986881</v>
      </c>
      <c r="F206">
        <v>0.08000000000000007</v>
      </c>
      <c r="G206">
        <v>0.06185875879493463</v>
      </c>
      <c r="H206">
        <v>0.507435409588568</v>
      </c>
      <c r="I206">
        <v>1062.755729</v>
      </c>
      <c r="J206">
        <v>9.786505042267528</v>
      </c>
      <c r="K206">
        <v>0.3624538639918343</v>
      </c>
      <c r="L206">
        <v>0.614437135908906</v>
      </c>
      <c r="M206">
        <v>16.94</v>
      </c>
      <c r="N206">
        <v>11.35</v>
      </c>
    </row>
    <row r="207" spans="1:14">
      <c r="A207" s="1" t="s">
        <v>219</v>
      </c>
      <c r="B207">
        <f>HYPERLINK("https://www.suredividend.com/sure-analysis-BRMK/","Broadmark Realty Capital Inc")</f>
        <v>0</v>
      </c>
      <c r="C207" t="s">
        <v>1929</v>
      </c>
      <c r="D207">
        <v>3.89</v>
      </c>
      <c r="E207">
        <v>0.1079691516709512</v>
      </c>
      <c r="F207">
        <v>-0.5</v>
      </c>
      <c r="G207">
        <v>-0.1294494367038759</v>
      </c>
      <c r="H207">
        <v>0.759905319565172</v>
      </c>
      <c r="I207">
        <v>517.066872</v>
      </c>
      <c r="J207">
        <v>0</v>
      </c>
      <c r="K207" t="s">
        <v>1921</v>
      </c>
      <c r="L207">
        <v>0.9060556412348291</v>
      </c>
      <c r="M207">
        <v>8.779999999999999</v>
      </c>
      <c r="N207">
        <v>3.52</v>
      </c>
    </row>
    <row r="208" spans="1:14">
      <c r="A208" s="1" t="s">
        <v>220</v>
      </c>
      <c r="B208">
        <f>HYPERLINK("https://www.suredividend.com/sure-analysis-research-database/","BRP Group Inc")</f>
        <v>0</v>
      </c>
      <c r="C208" t="s">
        <v>1923</v>
      </c>
      <c r="D208">
        <v>28.5</v>
      </c>
      <c r="E208">
        <v>0</v>
      </c>
      <c r="F208" t="s">
        <v>1921</v>
      </c>
      <c r="G208" t="s">
        <v>1921</v>
      </c>
      <c r="H208">
        <v>0</v>
      </c>
      <c r="I208">
        <v>1750.712678</v>
      </c>
      <c r="J208">
        <v>0</v>
      </c>
      <c r="K208" t="s">
        <v>1921</v>
      </c>
      <c r="L208">
        <v>1.693753517724848</v>
      </c>
      <c r="M208">
        <v>34.59</v>
      </c>
      <c r="N208">
        <v>17.08</v>
      </c>
    </row>
    <row r="209" spans="1:14">
      <c r="A209" s="1" t="s">
        <v>221</v>
      </c>
      <c r="B209">
        <f>HYPERLINK("https://www.suredividend.com/sure-analysis-research-database/","BrightSpire Capital Inc")</f>
        <v>0</v>
      </c>
      <c r="C209" t="s">
        <v>1921</v>
      </c>
      <c r="D209">
        <v>6.86</v>
      </c>
      <c r="E209">
        <v>0.110192557124814</v>
      </c>
      <c r="F209">
        <v>0.1111111111111112</v>
      </c>
      <c r="G209">
        <v>0.06643011016843192</v>
      </c>
      <c r="H209">
        <v>0.755920941876225</v>
      </c>
      <c r="I209">
        <v>884.699447</v>
      </c>
      <c r="J209">
        <v>7.216557611282863</v>
      </c>
      <c r="K209">
        <v>0.790960491656613</v>
      </c>
      <c r="L209">
        <v>0.988560757989101</v>
      </c>
      <c r="M209">
        <v>9.33</v>
      </c>
      <c r="N209">
        <v>5.94</v>
      </c>
    </row>
    <row r="210" spans="1:14">
      <c r="A210" s="1" t="s">
        <v>222</v>
      </c>
      <c r="B210">
        <f>HYPERLINK("https://www.suredividend.com/sure-analysis-research-database/","BRT Apartments Corp")</f>
        <v>0</v>
      </c>
      <c r="C210" t="s">
        <v>1929</v>
      </c>
      <c r="D210">
        <v>19.54</v>
      </c>
      <c r="E210">
        <v>0.049278435089636</v>
      </c>
      <c r="F210">
        <v>0.08695652173913038</v>
      </c>
      <c r="G210">
        <v>0.04563955259127317</v>
      </c>
      <c r="H210">
        <v>0.962900621651489</v>
      </c>
      <c r="I210">
        <v>370.092465</v>
      </c>
      <c r="J210">
        <v>6.993432831821617</v>
      </c>
      <c r="K210">
        <v>0.3157051218529472</v>
      </c>
      <c r="L210">
        <v>0.7098067107354391</v>
      </c>
      <c r="M210">
        <v>25.06</v>
      </c>
      <c r="N210">
        <v>18.07</v>
      </c>
    </row>
    <row r="211" spans="1:14">
      <c r="A211" s="1" t="s">
        <v>223</v>
      </c>
      <c r="B211">
        <f>HYPERLINK("https://www.suredividend.com/sure-analysis-research-database/","Berry Corp")</f>
        <v>0</v>
      </c>
      <c r="C211" t="s">
        <v>1926</v>
      </c>
      <c r="D211">
        <v>8.08</v>
      </c>
      <c r="E211">
        <v>0.028488956721247</v>
      </c>
      <c r="F211" t="s">
        <v>1921</v>
      </c>
      <c r="G211" t="s">
        <v>1921</v>
      </c>
      <c r="H211">
        <v>0.230190770307681</v>
      </c>
      <c r="I211">
        <v>620.281424</v>
      </c>
      <c r="J211">
        <v>0</v>
      </c>
      <c r="K211" t="s">
        <v>1921</v>
      </c>
      <c r="L211">
        <v>0.851491898394625</v>
      </c>
      <c r="M211">
        <v>11.97</v>
      </c>
      <c r="N211">
        <v>6.44</v>
      </c>
    </row>
    <row r="212" spans="1:14">
      <c r="A212" s="1" t="s">
        <v>224</v>
      </c>
      <c r="B212">
        <f>HYPERLINK("https://www.suredividend.com/sure-analysis-research-database/","Bassett Furniture Industries Inc.")</f>
        <v>0</v>
      </c>
      <c r="C212" t="s">
        <v>1927</v>
      </c>
      <c r="D212">
        <v>17.9</v>
      </c>
      <c r="E212">
        <v>0.03227943734125401</v>
      </c>
      <c r="F212">
        <v>-0.8933333333333333</v>
      </c>
      <c r="G212">
        <v>0.05061112176150684</v>
      </c>
      <c r="H212">
        <v>0.577801928408454</v>
      </c>
      <c r="I212">
        <v>163.887746</v>
      </c>
      <c r="J212">
        <v>2.507462454100367</v>
      </c>
      <c r="K212">
        <v>0.08472169038247127</v>
      </c>
      <c r="L212">
        <v>0.69885353084015</v>
      </c>
      <c r="M212">
        <v>23.52</v>
      </c>
      <c r="N212">
        <v>11.69</v>
      </c>
    </row>
    <row r="213" spans="1:14">
      <c r="A213" s="1" t="s">
        <v>225</v>
      </c>
      <c r="B213">
        <f>HYPERLINK("https://www.suredividend.com/sure-analysis-research-database/","BrightSphere Investment Group Inc")</f>
        <v>0</v>
      </c>
      <c r="C213" t="s">
        <v>1923</v>
      </c>
      <c r="D213">
        <v>20.9</v>
      </c>
      <c r="E213">
        <v>0.001912338619423</v>
      </c>
      <c r="F213">
        <v>0</v>
      </c>
      <c r="G213">
        <v>-0.3556059850227458</v>
      </c>
      <c r="H213">
        <v>0.039967877145949</v>
      </c>
      <c r="I213">
        <v>865.96757</v>
      </c>
      <c r="J213">
        <v>0</v>
      </c>
      <c r="K213" t="s">
        <v>1921</v>
      </c>
      <c r="L213">
        <v>1.075283586803362</v>
      </c>
      <c r="M213">
        <v>26.44</v>
      </c>
      <c r="N213">
        <v>14.72</v>
      </c>
    </row>
    <row r="214" spans="1:14">
      <c r="A214" s="1" t="s">
        <v>226</v>
      </c>
      <c r="B214">
        <f>HYPERLINK("https://www.suredividend.com/sure-analysis-research-database/","Sierra Bancorp")</f>
        <v>0</v>
      </c>
      <c r="C214" t="s">
        <v>1923</v>
      </c>
      <c r="D214">
        <v>21.11</v>
      </c>
      <c r="E214">
        <v>0.042903770671188</v>
      </c>
      <c r="F214">
        <v>0.04545454545454541</v>
      </c>
      <c r="G214">
        <v>0.07528000640556964</v>
      </c>
      <c r="H214">
        <v>0.9056985988687991</v>
      </c>
      <c r="I214">
        <v>318.538817</v>
      </c>
      <c r="J214">
        <v>8.807443726325102</v>
      </c>
      <c r="K214">
        <v>0.3789533886480331</v>
      </c>
      <c r="L214">
        <v>0.513679606543574</v>
      </c>
      <c r="M214">
        <v>27.23</v>
      </c>
      <c r="N214">
        <v>19.41</v>
      </c>
    </row>
    <row r="215" spans="1:14">
      <c r="A215" s="1" t="s">
        <v>227</v>
      </c>
      <c r="B215">
        <f>HYPERLINK("https://www.suredividend.com/sure-analysis-research-database/","BioXcel Therapeutics Inc")</f>
        <v>0</v>
      </c>
      <c r="C215" t="s">
        <v>1922</v>
      </c>
      <c r="D215">
        <v>22.44</v>
      </c>
      <c r="E215">
        <v>0</v>
      </c>
      <c r="F215" t="s">
        <v>1921</v>
      </c>
      <c r="G215" t="s">
        <v>1921</v>
      </c>
      <c r="H215">
        <v>0</v>
      </c>
      <c r="I215">
        <v>628.824115</v>
      </c>
      <c r="J215">
        <v>0</v>
      </c>
      <c r="K215" t="s">
        <v>1921</v>
      </c>
      <c r="L215">
        <v>1.823064588489982</v>
      </c>
      <c r="M215">
        <v>24.57</v>
      </c>
      <c r="N215">
        <v>8.800000000000001</v>
      </c>
    </row>
    <row r="216" spans="1:14">
      <c r="A216" s="1" t="s">
        <v>228</v>
      </c>
      <c r="B216">
        <f>HYPERLINK("https://www.suredividend.com/sure-analysis-research-database/","BTRS Holdings Inc")</f>
        <v>0</v>
      </c>
      <c r="C216" t="s">
        <v>1921</v>
      </c>
      <c r="D216">
        <v>9.49</v>
      </c>
      <c r="E216">
        <v>0</v>
      </c>
      <c r="F216" t="s">
        <v>1921</v>
      </c>
      <c r="G216" t="s">
        <v>1921</v>
      </c>
      <c r="H216">
        <v>0</v>
      </c>
      <c r="I216">
        <v>0</v>
      </c>
      <c r="J216">
        <v>0</v>
      </c>
      <c r="K216" t="s">
        <v>1921</v>
      </c>
    </row>
    <row r="217" spans="1:14">
      <c r="A217" s="1" t="s">
        <v>229</v>
      </c>
      <c r="B217">
        <f>HYPERLINK("https://www.suredividend.com/sure-analysis-research-database/","Peabody Energy Corp.")</f>
        <v>0</v>
      </c>
      <c r="C217" t="s">
        <v>1926</v>
      </c>
      <c r="D217">
        <v>27.65</v>
      </c>
      <c r="E217">
        <v>0</v>
      </c>
      <c r="F217" t="s">
        <v>1921</v>
      </c>
      <c r="G217" t="s">
        <v>1921</v>
      </c>
      <c r="H217">
        <v>0</v>
      </c>
      <c r="I217">
        <v>3978.835</v>
      </c>
      <c r="J217">
        <v>3.377332144979204</v>
      </c>
      <c r="K217">
        <v>0</v>
      </c>
      <c r="L217">
        <v>0.8586129968175621</v>
      </c>
      <c r="M217">
        <v>33.29</v>
      </c>
      <c r="N217">
        <v>9.83</v>
      </c>
    </row>
    <row r="218" spans="1:14">
      <c r="A218" s="1" t="s">
        <v>230</v>
      </c>
      <c r="B218">
        <f>HYPERLINK("https://www.suredividend.com/sure-analysis-research-database/","Brooklyn ImmunoTherapeutics Inc")</f>
        <v>0</v>
      </c>
      <c r="C218" t="s">
        <v>1921</v>
      </c>
      <c r="D218">
        <v>4.102</v>
      </c>
      <c r="E218">
        <v>0</v>
      </c>
      <c r="F218" t="s">
        <v>1921</v>
      </c>
      <c r="G218" t="s">
        <v>1921</v>
      </c>
      <c r="H218">
        <v>0</v>
      </c>
      <c r="I218">
        <v>241.303181</v>
      </c>
      <c r="J218">
        <v>0</v>
      </c>
      <c r="K218" t="s">
        <v>1921</v>
      </c>
      <c r="L218">
        <v>1.591624411110065</v>
      </c>
      <c r="M218">
        <v>202</v>
      </c>
      <c r="N218">
        <v>3.4</v>
      </c>
    </row>
    <row r="219" spans="1:14">
      <c r="A219" s="1" t="s">
        <v>231</v>
      </c>
      <c r="B219">
        <f>HYPERLINK("https://www.suredividend.com/sure-analysis-research-database/","First Busey Corp.")</f>
        <v>0</v>
      </c>
      <c r="C219" t="s">
        <v>1923</v>
      </c>
      <c r="D219">
        <v>24.31</v>
      </c>
      <c r="E219">
        <v>0.03731231358546901</v>
      </c>
      <c r="F219">
        <v>0</v>
      </c>
      <c r="G219">
        <v>0.02834672210021361</v>
      </c>
      <c r="H219">
        <v>0.907062343262766</v>
      </c>
      <c r="I219">
        <v>1342.700471</v>
      </c>
      <c r="J219">
        <v>10.84134413031893</v>
      </c>
      <c r="K219">
        <v>0.4123010651194391</v>
      </c>
      <c r="L219">
        <v>0.6255452749988391</v>
      </c>
      <c r="M219">
        <v>28.67</v>
      </c>
      <c r="N219">
        <v>21.25</v>
      </c>
    </row>
    <row r="220" spans="1:14">
      <c r="A220" s="1" t="s">
        <v>232</v>
      </c>
      <c r="B220">
        <f>HYPERLINK("https://www.suredividend.com/sure-analysis-research-database/","BrightView Holdings Inc")</f>
        <v>0</v>
      </c>
      <c r="C220" t="s">
        <v>1924</v>
      </c>
      <c r="D220">
        <v>7.32</v>
      </c>
      <c r="E220">
        <v>0</v>
      </c>
      <c r="F220" t="s">
        <v>1921</v>
      </c>
      <c r="G220" t="s">
        <v>1921</v>
      </c>
      <c r="H220">
        <v>0</v>
      </c>
      <c r="I220">
        <v>680.76</v>
      </c>
      <c r="J220">
        <v>0</v>
      </c>
      <c r="K220" t="s">
        <v>1921</v>
      </c>
      <c r="L220">
        <v>1.105251885224356</v>
      </c>
      <c r="M220">
        <v>14.23</v>
      </c>
      <c r="N220">
        <v>5.78</v>
      </c>
    </row>
    <row r="221" spans="1:14">
      <c r="A221" s="1" t="s">
        <v>233</v>
      </c>
      <c r="B221">
        <f>HYPERLINK("https://www.suredividend.com/sure-analysis-research-database/","Bluegreen Vacations Holding Corporation")</f>
        <v>0</v>
      </c>
      <c r="C221" t="s">
        <v>1921</v>
      </c>
      <c r="D221">
        <v>26.04</v>
      </c>
      <c r="E221">
        <v>0.017162706654425</v>
      </c>
      <c r="F221" t="s">
        <v>1921</v>
      </c>
      <c r="G221" t="s">
        <v>1921</v>
      </c>
      <c r="H221">
        <v>0.446916881281249</v>
      </c>
      <c r="I221">
        <v>419.50992</v>
      </c>
      <c r="J221">
        <v>0</v>
      </c>
      <c r="K221" t="s">
        <v>1921</v>
      </c>
      <c r="L221">
        <v>1.083431131804794</v>
      </c>
      <c r="M221">
        <v>32.34</v>
      </c>
      <c r="N221">
        <v>16.12</v>
      </c>
    </row>
    <row r="222" spans="1:14">
      <c r="A222" s="1" t="s">
        <v>234</v>
      </c>
      <c r="B222">
        <f>HYPERLINK("https://www.suredividend.com/sure-analysis-research-database/","Bioventus Inc")</f>
        <v>0</v>
      </c>
      <c r="C222" t="s">
        <v>1921</v>
      </c>
      <c r="D222">
        <v>2.7</v>
      </c>
      <c r="E222">
        <v>0</v>
      </c>
      <c r="F222" t="s">
        <v>1921</v>
      </c>
      <c r="G222" t="s">
        <v>1921</v>
      </c>
      <c r="H222">
        <v>0</v>
      </c>
      <c r="I222">
        <v>166.493227</v>
      </c>
      <c r="J222">
        <v>0</v>
      </c>
      <c r="K222" t="s">
        <v>1921</v>
      </c>
      <c r="L222">
        <v>1.360689136192549</v>
      </c>
      <c r="M222">
        <v>15.48</v>
      </c>
      <c r="N222">
        <v>1.65</v>
      </c>
    </row>
    <row r="223" spans="1:14">
      <c r="A223" s="1" t="s">
        <v>235</v>
      </c>
      <c r="B223">
        <f>HYPERLINK("https://www.suredividend.com/sure-analysis-research-database/","Babcock &amp; Wilcox Enterprises Inc")</f>
        <v>0</v>
      </c>
      <c r="C223" t="s">
        <v>1924</v>
      </c>
      <c r="D223">
        <v>6.23</v>
      </c>
      <c r="E223">
        <v>0</v>
      </c>
      <c r="F223" t="s">
        <v>1921</v>
      </c>
      <c r="G223" t="s">
        <v>1921</v>
      </c>
      <c r="H223">
        <v>0</v>
      </c>
      <c r="I223">
        <v>552.18754</v>
      </c>
      <c r="J223" t="s">
        <v>1921</v>
      </c>
      <c r="K223">
        <v>-0</v>
      </c>
      <c r="L223">
        <v>1.479002699335819</v>
      </c>
      <c r="M223">
        <v>9.08</v>
      </c>
      <c r="N223">
        <v>3.89</v>
      </c>
    </row>
    <row r="224" spans="1:14">
      <c r="A224" s="1" t="s">
        <v>236</v>
      </c>
      <c r="B224">
        <f>HYPERLINK("https://www.suredividend.com/sure-analysis-research-database/","Bridgewater Bancshares Inc")</f>
        <v>0</v>
      </c>
      <c r="C224" t="s">
        <v>1923</v>
      </c>
      <c r="D224">
        <v>17.31</v>
      </c>
      <c r="E224">
        <v>0</v>
      </c>
      <c r="F224" t="s">
        <v>1921</v>
      </c>
      <c r="G224" t="s">
        <v>1921</v>
      </c>
      <c r="H224">
        <v>0</v>
      </c>
      <c r="I224">
        <v>477.599829</v>
      </c>
      <c r="J224">
        <v>0</v>
      </c>
      <c r="K224" t="s">
        <v>1921</v>
      </c>
      <c r="L224">
        <v>0.5390548324405391</v>
      </c>
      <c r="M224">
        <v>20.2</v>
      </c>
      <c r="N224">
        <v>14.97</v>
      </c>
    </row>
    <row r="225" spans="1:14">
      <c r="A225" s="1" t="s">
        <v>237</v>
      </c>
      <c r="B225">
        <f>HYPERLINK("https://www.suredividend.com/sure-analysis-research-database/","Bluelinx Hldgs Inc")</f>
        <v>0</v>
      </c>
      <c r="C225" t="s">
        <v>1924</v>
      </c>
      <c r="D225">
        <v>75.33</v>
      </c>
      <c r="E225">
        <v>0</v>
      </c>
      <c r="F225" t="s">
        <v>1921</v>
      </c>
      <c r="G225" t="s">
        <v>1921</v>
      </c>
      <c r="H225">
        <v>0</v>
      </c>
      <c r="I225">
        <v>680.64188</v>
      </c>
      <c r="J225">
        <v>2.014883882720014</v>
      </c>
      <c r="K225">
        <v>0</v>
      </c>
      <c r="L225">
        <v>1.777318137467312</v>
      </c>
      <c r="M225">
        <v>100.01</v>
      </c>
      <c r="N225">
        <v>57.5</v>
      </c>
    </row>
    <row r="226" spans="1:14">
      <c r="A226" s="1" t="s">
        <v>238</v>
      </c>
      <c r="B226">
        <f>HYPERLINK("https://www.suredividend.com/sure-analysis-BXMT/","Blackstone Mortgage Trust Inc")</f>
        <v>0</v>
      </c>
      <c r="C226" t="s">
        <v>1929</v>
      </c>
      <c r="D226">
        <v>22.07</v>
      </c>
      <c r="E226">
        <v>0.1123697326687812</v>
      </c>
      <c r="F226">
        <v>0</v>
      </c>
      <c r="G226">
        <v>0</v>
      </c>
      <c r="H226">
        <v>3.004962111502104</v>
      </c>
      <c r="I226">
        <v>3771.742916</v>
      </c>
      <c r="J226">
        <v>8.977732459380846</v>
      </c>
      <c r="K226">
        <v>1.267916502743504</v>
      </c>
      <c r="L226">
        <v>0.8200865545890781</v>
      </c>
      <c r="M226">
        <v>30.11</v>
      </c>
      <c r="N226">
        <v>20.87</v>
      </c>
    </row>
    <row r="227" spans="1:14">
      <c r="A227" s="1" t="s">
        <v>239</v>
      </c>
      <c r="B227">
        <f>HYPERLINK("https://www.suredividend.com/sure-analysis-research-database/","Byline Bancorp Inc")</f>
        <v>0</v>
      </c>
      <c r="C227" t="s">
        <v>1923</v>
      </c>
      <c r="D227">
        <v>22.84</v>
      </c>
      <c r="E227">
        <v>0.015669925743948</v>
      </c>
      <c r="F227" t="s">
        <v>1921</v>
      </c>
      <c r="G227" t="s">
        <v>1921</v>
      </c>
      <c r="H227">
        <v>0.357901103991782</v>
      </c>
      <c r="I227">
        <v>855.7212019999999</v>
      </c>
      <c r="J227">
        <v>10.42964644264872</v>
      </c>
      <c r="K227">
        <v>0.1641748183448541</v>
      </c>
      <c r="L227">
        <v>0.628763605522051</v>
      </c>
      <c r="M227">
        <v>28.54</v>
      </c>
      <c r="N227">
        <v>20.07</v>
      </c>
    </row>
    <row r="228" spans="1:14">
      <c r="A228" s="1" t="s">
        <v>240</v>
      </c>
      <c r="B228">
        <f>HYPERLINK("https://www.suredividend.com/sure-analysis-research-database/","Byrna Technologies Inc")</f>
        <v>0</v>
      </c>
      <c r="C228" t="s">
        <v>1924</v>
      </c>
      <c r="D228">
        <v>8.630000000000001</v>
      </c>
      <c r="E228">
        <v>0</v>
      </c>
      <c r="F228" t="s">
        <v>1921</v>
      </c>
      <c r="G228" t="s">
        <v>1921</v>
      </c>
      <c r="H228">
        <v>0</v>
      </c>
      <c r="I228">
        <v>191.901875</v>
      </c>
      <c r="J228">
        <v>0</v>
      </c>
      <c r="K228" t="s">
        <v>1921</v>
      </c>
      <c r="L228">
        <v>1.050302554985671</v>
      </c>
      <c r="M228">
        <v>12.83</v>
      </c>
      <c r="N228">
        <v>4.5</v>
      </c>
    </row>
    <row r="229" spans="1:14">
      <c r="A229" s="1" t="s">
        <v>241</v>
      </c>
      <c r="B229">
        <f>HYPERLINK("https://www.suredividend.com/sure-analysis-research-database/","BeyondSpring Inc")</f>
        <v>0</v>
      </c>
      <c r="C229" t="s">
        <v>1922</v>
      </c>
      <c r="D229">
        <v>1.9</v>
      </c>
      <c r="E229">
        <v>0</v>
      </c>
      <c r="F229" t="s">
        <v>1921</v>
      </c>
      <c r="G229" t="s">
        <v>1921</v>
      </c>
      <c r="H229">
        <v>0</v>
      </c>
      <c r="I229">
        <v>73.964952</v>
      </c>
      <c r="J229">
        <v>0</v>
      </c>
      <c r="K229" t="s">
        <v>1921</v>
      </c>
      <c r="L229">
        <v>1.139244404337961</v>
      </c>
      <c r="M229">
        <v>4.57</v>
      </c>
      <c r="N229">
        <v>0.542</v>
      </c>
    </row>
    <row r="230" spans="1:14">
      <c r="A230" s="1" t="s">
        <v>242</v>
      </c>
      <c r="B230">
        <f>HYPERLINK("https://www.suredividend.com/sure-analysis-research-database/","Beazer Homes USA Inc.")</f>
        <v>0</v>
      </c>
      <c r="C230" t="s">
        <v>1927</v>
      </c>
      <c r="D230">
        <v>13.63</v>
      </c>
      <c r="E230">
        <v>0</v>
      </c>
      <c r="F230" t="s">
        <v>1921</v>
      </c>
      <c r="G230" t="s">
        <v>1921</v>
      </c>
      <c r="H230">
        <v>0</v>
      </c>
      <c r="I230">
        <v>427.265594</v>
      </c>
      <c r="J230">
        <v>1.935921385973974</v>
      </c>
      <c r="K230">
        <v>0</v>
      </c>
      <c r="L230">
        <v>1.557069202305809</v>
      </c>
      <c r="M230">
        <v>22.5</v>
      </c>
      <c r="N230">
        <v>9.470000000000001</v>
      </c>
    </row>
    <row r="231" spans="1:14">
      <c r="A231" s="1" t="s">
        <v>243</v>
      </c>
      <c r="B231">
        <f>HYPERLINK("https://www.suredividend.com/sure-analysis-research-database/","Camden National Corp.")</f>
        <v>0</v>
      </c>
      <c r="C231" t="s">
        <v>1923</v>
      </c>
      <c r="D231">
        <v>41.72</v>
      </c>
      <c r="E231">
        <v>0.037822904454625</v>
      </c>
      <c r="F231">
        <v>0.1111111111111112</v>
      </c>
      <c r="G231">
        <v>0.09856054330611785</v>
      </c>
      <c r="H231">
        <v>1.577971573846957</v>
      </c>
      <c r="I231">
        <v>607.668863</v>
      </c>
      <c r="J231">
        <v>9.736566686641778</v>
      </c>
      <c r="K231">
        <v>0.3739269132338761</v>
      </c>
      <c r="L231">
        <v>0.440736529585645</v>
      </c>
      <c r="M231">
        <v>50.76</v>
      </c>
      <c r="N231">
        <v>40.07</v>
      </c>
    </row>
    <row r="232" spans="1:14">
      <c r="A232" s="1" t="s">
        <v>244</v>
      </c>
      <c r="B232">
        <f>HYPERLINK("https://www.suredividend.com/sure-analysis-research-database/","Cadence Bank")</f>
        <v>0</v>
      </c>
      <c r="C232" t="s">
        <v>1923</v>
      </c>
      <c r="D232">
        <v>25.04</v>
      </c>
      <c r="E232">
        <v>0.034680773978291</v>
      </c>
      <c r="F232">
        <v>0.09999999999999987</v>
      </c>
      <c r="G232">
        <v>0.1197022052804315</v>
      </c>
      <c r="H232">
        <v>0.8684065804164151</v>
      </c>
      <c r="I232">
        <v>2570.25912</v>
      </c>
      <c r="J232">
        <v>8.003098537915916</v>
      </c>
      <c r="K232">
        <v>0.4878688654024804</v>
      </c>
      <c r="L232">
        <v>0.8758635506144301</v>
      </c>
      <c r="M232">
        <v>33.09</v>
      </c>
      <c r="N232">
        <v>21.66</v>
      </c>
    </row>
    <row r="233" spans="1:14">
      <c r="A233" s="1" t="s">
        <v>245</v>
      </c>
      <c r="B233">
        <f>HYPERLINK("https://www.suredividend.com/sure-analysis-CAKE/","Cheesecake Factory Inc.")</f>
        <v>0</v>
      </c>
      <c r="C233" t="s">
        <v>1927</v>
      </c>
      <c r="D233">
        <v>37.56</v>
      </c>
      <c r="E233">
        <v>0.02875399361022364</v>
      </c>
      <c r="F233" t="s">
        <v>1921</v>
      </c>
      <c r="G233" t="s">
        <v>1921</v>
      </c>
      <c r="H233">
        <v>0.8037066575538051</v>
      </c>
      <c r="I233">
        <v>1931.340308</v>
      </c>
      <c r="J233">
        <v>41.09147269547456</v>
      </c>
      <c r="K233">
        <v>0.8701891051903475</v>
      </c>
      <c r="L233">
        <v>1.273991155150282</v>
      </c>
      <c r="M233">
        <v>43.58</v>
      </c>
      <c r="N233">
        <v>25.63</v>
      </c>
    </row>
    <row r="234" spans="1:14">
      <c r="A234" s="1" t="s">
        <v>246</v>
      </c>
      <c r="B234">
        <f>HYPERLINK("https://www.suredividend.com/sure-analysis-research-database/","Caleres Inc")</f>
        <v>0</v>
      </c>
      <c r="C234" t="s">
        <v>1927</v>
      </c>
      <c r="D234">
        <v>22.64</v>
      </c>
      <c r="E234">
        <v>0.01231028605653</v>
      </c>
      <c r="F234">
        <v>0</v>
      </c>
      <c r="G234">
        <v>0</v>
      </c>
      <c r="H234">
        <v>0.278704876319839</v>
      </c>
      <c r="I234">
        <v>806.347259</v>
      </c>
      <c r="J234">
        <v>4.812605618654842</v>
      </c>
      <c r="K234">
        <v>0.05993653254190087</v>
      </c>
      <c r="L234">
        <v>1.113218848674351</v>
      </c>
      <c r="M234">
        <v>30.94</v>
      </c>
      <c r="N234">
        <v>17.6</v>
      </c>
    </row>
    <row r="235" spans="1:14">
      <c r="A235" s="1" t="s">
        <v>247</v>
      </c>
      <c r="B235">
        <f>HYPERLINK("https://www.suredividend.com/sure-analysis-research-database/","Cal-Maine Foods, Inc.")</f>
        <v>0</v>
      </c>
      <c r="C235" t="s">
        <v>1928</v>
      </c>
      <c r="D235">
        <v>52.66</v>
      </c>
      <c r="E235">
        <v>0.032520801755606</v>
      </c>
      <c r="F235" t="s">
        <v>1921</v>
      </c>
      <c r="G235" t="s">
        <v>1921</v>
      </c>
      <c r="H235">
        <v>1.712545420450253</v>
      </c>
      <c r="I235">
        <v>2323.893646</v>
      </c>
      <c r="J235">
        <v>4.909181574812465</v>
      </c>
      <c r="K235">
        <v>0.176187800457845</v>
      </c>
      <c r="L235">
        <v>0.258262004001078</v>
      </c>
      <c r="M235">
        <v>65.31999999999999</v>
      </c>
      <c r="N235">
        <v>37.07</v>
      </c>
    </row>
    <row r="236" spans="1:14">
      <c r="A236" s="1" t="s">
        <v>248</v>
      </c>
      <c r="B236">
        <f>HYPERLINK("https://www.suredividend.com/sure-analysis-research-database/","Calix Inc")</f>
        <v>0</v>
      </c>
      <c r="C236" t="s">
        <v>1920</v>
      </c>
      <c r="D236">
        <v>69.33</v>
      </c>
      <c r="E236">
        <v>0</v>
      </c>
      <c r="F236" t="s">
        <v>1921</v>
      </c>
      <c r="G236" t="s">
        <v>1921</v>
      </c>
      <c r="H236">
        <v>0</v>
      </c>
      <c r="I236">
        <v>4537.044497</v>
      </c>
      <c r="J236">
        <v>92.6608221762928</v>
      </c>
      <c r="K236">
        <v>0</v>
      </c>
      <c r="L236">
        <v>1.643132879221735</v>
      </c>
      <c r="M236">
        <v>77.44</v>
      </c>
      <c r="N236">
        <v>31.59</v>
      </c>
    </row>
    <row r="237" spans="1:14">
      <c r="A237" s="1" t="s">
        <v>249</v>
      </c>
      <c r="B237">
        <f>HYPERLINK("https://www.suredividend.com/sure-analysis-research-database/","Calamp Corp.")</f>
        <v>0</v>
      </c>
      <c r="C237" t="s">
        <v>1920</v>
      </c>
      <c r="D237">
        <v>4.81</v>
      </c>
      <c r="E237">
        <v>0</v>
      </c>
      <c r="F237" t="s">
        <v>1921</v>
      </c>
      <c r="G237" t="s">
        <v>1921</v>
      </c>
      <c r="H237">
        <v>0</v>
      </c>
      <c r="I237">
        <v>177.817946</v>
      </c>
      <c r="J237" t="s">
        <v>1921</v>
      </c>
      <c r="K237">
        <v>-0</v>
      </c>
      <c r="L237">
        <v>1.202575527306141</v>
      </c>
      <c r="M237">
        <v>7.62</v>
      </c>
      <c r="N237">
        <v>2.96</v>
      </c>
    </row>
    <row r="238" spans="1:14">
      <c r="A238" s="1" t="s">
        <v>250</v>
      </c>
      <c r="B238">
        <f>HYPERLINK("https://www.suredividend.com/sure-analysis-research-database/","Avis Budget Group Inc")</f>
        <v>0</v>
      </c>
      <c r="C238" t="s">
        <v>1924</v>
      </c>
      <c r="D238">
        <v>167.84</v>
      </c>
      <c r="E238">
        <v>0</v>
      </c>
      <c r="F238" t="s">
        <v>1921</v>
      </c>
      <c r="G238" t="s">
        <v>1921</v>
      </c>
      <c r="H238">
        <v>0</v>
      </c>
      <c r="I238">
        <v>6959.72259</v>
      </c>
      <c r="J238">
        <v>2.555902530326845</v>
      </c>
      <c r="K238">
        <v>0</v>
      </c>
      <c r="L238">
        <v>1.78276558339567</v>
      </c>
      <c r="M238">
        <v>327.8</v>
      </c>
      <c r="N238">
        <v>131.83</v>
      </c>
    </row>
    <row r="239" spans="1:14">
      <c r="A239" s="1" t="s">
        <v>251</v>
      </c>
      <c r="B239">
        <f>HYPERLINK("https://www.suredividend.com/sure-analysis-research-database/","Cara Therapeutics Inc")</f>
        <v>0</v>
      </c>
      <c r="C239" t="s">
        <v>1922</v>
      </c>
      <c r="D239">
        <v>10.06</v>
      </c>
      <c r="E239">
        <v>0</v>
      </c>
      <c r="F239" t="s">
        <v>1921</v>
      </c>
      <c r="G239" t="s">
        <v>1921</v>
      </c>
      <c r="H239">
        <v>0</v>
      </c>
      <c r="I239">
        <v>540.560086</v>
      </c>
      <c r="J239" t="s">
        <v>1921</v>
      </c>
      <c r="K239">
        <v>-0</v>
      </c>
      <c r="L239">
        <v>1.170993779518795</v>
      </c>
      <c r="M239">
        <v>13.97</v>
      </c>
      <c r="N239">
        <v>7.4</v>
      </c>
    </row>
    <row r="240" spans="1:14">
      <c r="A240" s="1" t="s">
        <v>252</v>
      </c>
      <c r="B240">
        <f>HYPERLINK("https://www.suredividend.com/sure-analysis-research-database/","Carter Bankshares Inc")</f>
        <v>0</v>
      </c>
      <c r="C240" t="s">
        <v>1923</v>
      </c>
      <c r="D240">
        <v>16.01</v>
      </c>
      <c r="E240">
        <v>0</v>
      </c>
      <c r="F240" t="s">
        <v>1921</v>
      </c>
      <c r="G240" t="s">
        <v>1921</v>
      </c>
      <c r="H240">
        <v>0</v>
      </c>
      <c r="I240">
        <v>385.997594</v>
      </c>
      <c r="J240">
        <v>0</v>
      </c>
      <c r="K240" t="s">
        <v>1921</v>
      </c>
      <c r="L240">
        <v>0.6201217546694391</v>
      </c>
      <c r="M240">
        <v>18.84</v>
      </c>
      <c r="N240">
        <v>12.58</v>
      </c>
    </row>
    <row r="241" spans="1:14">
      <c r="A241" s="1" t="s">
        <v>253</v>
      </c>
      <c r="B241">
        <f>HYPERLINK("https://www.suredividend.com/sure-analysis-research-database/","CarGurus Inc")</f>
        <v>0</v>
      </c>
      <c r="C241" t="s">
        <v>1931</v>
      </c>
      <c r="D241">
        <v>15.46</v>
      </c>
      <c r="E241">
        <v>0</v>
      </c>
      <c r="F241" t="s">
        <v>1921</v>
      </c>
      <c r="G241" t="s">
        <v>1921</v>
      </c>
      <c r="H241">
        <v>0</v>
      </c>
      <c r="I241">
        <v>1591.393745</v>
      </c>
      <c r="J241" t="s">
        <v>1921</v>
      </c>
      <c r="K241">
        <v>-0</v>
      </c>
      <c r="L241">
        <v>1.792978471125483</v>
      </c>
      <c r="M241">
        <v>50.03</v>
      </c>
      <c r="N241">
        <v>9.140000000000001</v>
      </c>
    </row>
    <row r="242" spans="1:14">
      <c r="A242" s="1" t="s">
        <v>254</v>
      </c>
      <c r="B242">
        <f>HYPERLINK("https://www.suredividend.com/sure-analysis-research-database/","Cars.com")</f>
        <v>0</v>
      </c>
      <c r="C242" t="s">
        <v>1927</v>
      </c>
      <c r="D242">
        <v>13.86</v>
      </c>
      <c r="E242">
        <v>0</v>
      </c>
      <c r="F242" t="s">
        <v>1921</v>
      </c>
      <c r="G242" t="s">
        <v>1921</v>
      </c>
      <c r="H242">
        <v>0</v>
      </c>
      <c r="I242">
        <v>923.220255</v>
      </c>
      <c r="J242">
        <v>934.4334563562752</v>
      </c>
      <c r="K242">
        <v>0</v>
      </c>
      <c r="L242">
        <v>1.362736461083793</v>
      </c>
      <c r="M242">
        <v>16.98</v>
      </c>
      <c r="N242">
        <v>8.75</v>
      </c>
    </row>
    <row r="243" spans="1:14">
      <c r="A243" s="1" t="s">
        <v>255</v>
      </c>
      <c r="B243">
        <f>HYPERLINK("https://www.suredividend.com/sure-analysis-research-database/","Casa Systems Inc")</f>
        <v>0</v>
      </c>
      <c r="C243" t="s">
        <v>1920</v>
      </c>
      <c r="D243">
        <v>3.32</v>
      </c>
      <c r="E243">
        <v>0</v>
      </c>
      <c r="F243" t="s">
        <v>1921</v>
      </c>
      <c r="G243" t="s">
        <v>1921</v>
      </c>
      <c r="H243">
        <v>0</v>
      </c>
      <c r="I243">
        <v>314.142504</v>
      </c>
      <c r="J243" t="s">
        <v>1921</v>
      </c>
      <c r="K243">
        <v>-0</v>
      </c>
      <c r="L243">
        <v>1.715313182751632</v>
      </c>
      <c r="M243">
        <v>7.18</v>
      </c>
      <c r="N243">
        <v>2.35</v>
      </c>
    </row>
    <row r="244" spans="1:14">
      <c r="A244" s="1" t="s">
        <v>256</v>
      </c>
      <c r="B244">
        <f>HYPERLINK("https://www.suredividend.com/sure-analysis-research-database/","Pathward Financial Inc")</f>
        <v>0</v>
      </c>
      <c r="C244" t="s">
        <v>1923</v>
      </c>
      <c r="D244">
        <v>45.39</v>
      </c>
      <c r="E244">
        <v>0.004397615529703001</v>
      </c>
      <c r="F244">
        <v>0</v>
      </c>
      <c r="G244">
        <v>-0.1739519118078667</v>
      </c>
      <c r="H244">
        <v>0.19960776889323</v>
      </c>
      <c r="I244">
        <v>1292.10955</v>
      </c>
      <c r="J244">
        <v>8.40008548813231</v>
      </c>
      <c r="K244">
        <v>0.03794824503673574</v>
      </c>
      <c r="L244">
        <v>1.081451418067642</v>
      </c>
      <c r="M244">
        <v>63.51</v>
      </c>
      <c r="N244">
        <v>31.07</v>
      </c>
    </row>
    <row r="245" spans="1:14">
      <c r="A245" s="1" t="s">
        <v>257</v>
      </c>
      <c r="B245">
        <f>HYPERLINK("https://www.suredividend.com/sure-analysis-CASS/","Cass Information Systems Inc")</f>
        <v>0</v>
      </c>
      <c r="C245" t="s">
        <v>1924</v>
      </c>
      <c r="D245">
        <v>48.1</v>
      </c>
      <c r="E245">
        <v>0.02411642411642411</v>
      </c>
      <c r="F245">
        <v>0.03571428571428559</v>
      </c>
      <c r="G245">
        <v>0.03857377308425858</v>
      </c>
      <c r="H245">
        <v>1.117907878554478</v>
      </c>
      <c r="I245">
        <v>657.111079</v>
      </c>
      <c r="J245">
        <v>19.72062901173435</v>
      </c>
      <c r="K245">
        <v>0.4638621902715676</v>
      </c>
      <c r="L245">
        <v>0.594048472000558</v>
      </c>
      <c r="M245">
        <v>49.5</v>
      </c>
      <c r="N245">
        <v>31.14</v>
      </c>
    </row>
    <row r="246" spans="1:14">
      <c r="A246" s="1" t="s">
        <v>258</v>
      </c>
      <c r="B246">
        <f>HYPERLINK("https://www.suredividend.com/sure-analysis-CATC/","Cambridge Bancorp")</f>
        <v>0</v>
      </c>
      <c r="C246" t="s">
        <v>1923</v>
      </c>
      <c r="D246">
        <v>81.8</v>
      </c>
      <c r="E246">
        <v>0.0312958435207824</v>
      </c>
      <c r="F246" t="s">
        <v>1921</v>
      </c>
      <c r="G246" t="s">
        <v>1921</v>
      </c>
      <c r="H246">
        <v>2.531081333245919</v>
      </c>
      <c r="I246">
        <v>637.7013480000001</v>
      </c>
      <c r="J246">
        <v>0</v>
      </c>
      <c r="K246" t="s">
        <v>1921</v>
      </c>
      <c r="L246">
        <v>0.5359662853625431</v>
      </c>
      <c r="M246">
        <v>93</v>
      </c>
      <c r="N246">
        <v>76.45</v>
      </c>
    </row>
    <row r="247" spans="1:14">
      <c r="A247" s="1" t="s">
        <v>259</v>
      </c>
      <c r="B247">
        <f>HYPERLINK("https://www.suredividend.com/sure-analysis-research-database/","Cato Corp.")</f>
        <v>0</v>
      </c>
      <c r="C247" t="s">
        <v>1927</v>
      </c>
      <c r="D247">
        <v>9.9</v>
      </c>
      <c r="E247">
        <v>0.066923022964993</v>
      </c>
      <c r="F247" t="s">
        <v>1921</v>
      </c>
      <c r="G247" t="s">
        <v>1921</v>
      </c>
      <c r="H247">
        <v>0.6625379273534361</v>
      </c>
      <c r="I247">
        <v>192.227429</v>
      </c>
      <c r="J247">
        <v>5.506844724553814</v>
      </c>
      <c r="K247">
        <v>0.4015381377899613</v>
      </c>
      <c r="L247">
        <v>0.841477048180524</v>
      </c>
      <c r="M247">
        <v>16.93</v>
      </c>
      <c r="N247">
        <v>8.25</v>
      </c>
    </row>
    <row r="248" spans="1:14">
      <c r="A248" s="1" t="s">
        <v>260</v>
      </c>
      <c r="B248">
        <f>HYPERLINK("https://www.suredividend.com/sure-analysis-research-database/","Cathay General Bancorp")</f>
        <v>0</v>
      </c>
      <c r="C248" t="s">
        <v>1923</v>
      </c>
      <c r="D248">
        <v>41.53</v>
      </c>
      <c r="E248">
        <v>0.032369036012357</v>
      </c>
      <c r="F248">
        <v>0</v>
      </c>
      <c r="G248">
        <v>0.07214502590085092</v>
      </c>
      <c r="H248">
        <v>1.344286065593212</v>
      </c>
      <c r="I248">
        <v>3090.404782</v>
      </c>
      <c r="J248">
        <v>9.133346480161956</v>
      </c>
      <c r="K248">
        <v>0.2993955602657488</v>
      </c>
      <c r="L248">
        <v>0.892696081385662</v>
      </c>
      <c r="M248">
        <v>47.38</v>
      </c>
      <c r="N248">
        <v>36.59</v>
      </c>
    </row>
    <row r="249" spans="1:14">
      <c r="A249" s="1" t="s">
        <v>261</v>
      </c>
      <c r="B249">
        <f>HYPERLINK("https://www.suredividend.com/sure-analysis-research-database/","Cymabay Therapeutics Inc")</f>
        <v>0</v>
      </c>
      <c r="C249" t="s">
        <v>1922</v>
      </c>
      <c r="D249">
        <v>5.92</v>
      </c>
      <c r="E249">
        <v>0</v>
      </c>
      <c r="F249" t="s">
        <v>1921</v>
      </c>
      <c r="G249" t="s">
        <v>1921</v>
      </c>
      <c r="H249">
        <v>0</v>
      </c>
      <c r="I249">
        <v>501.293399</v>
      </c>
      <c r="J249">
        <v>0</v>
      </c>
      <c r="K249" t="s">
        <v>1921</v>
      </c>
      <c r="L249">
        <v>1.03729007073042</v>
      </c>
      <c r="M249">
        <v>6.46</v>
      </c>
      <c r="N249">
        <v>1.67</v>
      </c>
    </row>
    <row r="250" spans="1:14">
      <c r="A250" s="1" t="s">
        <v>262</v>
      </c>
      <c r="B250">
        <f>HYPERLINK("https://www.suredividend.com/sure-analysis-research-database/","Capital Bancorp Inc")</f>
        <v>0</v>
      </c>
      <c r="C250" t="s">
        <v>1923</v>
      </c>
      <c r="D250">
        <v>23.1</v>
      </c>
      <c r="E250">
        <v>0.009490622469184001</v>
      </c>
      <c r="F250" t="s">
        <v>1921</v>
      </c>
      <c r="G250" t="s">
        <v>1921</v>
      </c>
      <c r="H250">
        <v>0.21923337903817</v>
      </c>
      <c r="I250">
        <v>323.559944</v>
      </c>
      <c r="J250">
        <v>0</v>
      </c>
      <c r="K250" t="s">
        <v>1921</v>
      </c>
      <c r="L250">
        <v>0.564790536859208</v>
      </c>
      <c r="M250">
        <v>27.35</v>
      </c>
      <c r="N250">
        <v>20.83</v>
      </c>
    </row>
    <row r="251" spans="1:14">
      <c r="A251" s="1" t="s">
        <v>263</v>
      </c>
      <c r="B251">
        <f>HYPERLINK("https://www.suredividend.com/sure-analysis-CBRL/","Cracker Barrel Old Country Store Inc")</f>
        <v>0</v>
      </c>
      <c r="C251" t="s">
        <v>1927</v>
      </c>
      <c r="D251">
        <v>98.86</v>
      </c>
      <c r="E251">
        <v>0.05259963584867489</v>
      </c>
      <c r="F251" t="s">
        <v>1921</v>
      </c>
      <c r="G251" t="s">
        <v>1921</v>
      </c>
      <c r="H251">
        <v>5.097913081476372</v>
      </c>
      <c r="I251">
        <v>2194.804898</v>
      </c>
      <c r="J251">
        <v>18.98078315117657</v>
      </c>
      <c r="K251">
        <v>1.011490690769121</v>
      </c>
      <c r="L251">
        <v>1.033889423636991</v>
      </c>
      <c r="M251">
        <v>130.82</v>
      </c>
      <c r="N251">
        <v>79.63</v>
      </c>
    </row>
    <row r="252" spans="1:14">
      <c r="A252" s="1" t="s">
        <v>264</v>
      </c>
      <c r="B252">
        <f>HYPERLINK("https://www.suredividend.com/sure-analysis-research-database/","Cabot Corp.")</f>
        <v>0</v>
      </c>
      <c r="C252" t="s">
        <v>1925</v>
      </c>
      <c r="D252">
        <v>69.72</v>
      </c>
      <c r="E252">
        <v>0.02106816269863</v>
      </c>
      <c r="F252">
        <v>0</v>
      </c>
      <c r="G252">
        <v>0.03270964718488734</v>
      </c>
      <c r="H252">
        <v>1.468872303348539</v>
      </c>
      <c r="I252">
        <v>3927.246725</v>
      </c>
      <c r="J252">
        <v>19.06430448932039</v>
      </c>
      <c r="K252">
        <v>0.4057658296542925</v>
      </c>
      <c r="L252">
        <v>1.19861515530606</v>
      </c>
      <c r="M252">
        <v>77.84</v>
      </c>
      <c r="N252">
        <v>52.24</v>
      </c>
    </row>
    <row r="253" spans="1:14">
      <c r="A253" s="1" t="s">
        <v>265</v>
      </c>
      <c r="B253">
        <f>HYPERLINK("https://www.suredividend.com/sure-analysis-research-database/","CBTX Inc")</f>
        <v>0</v>
      </c>
      <c r="C253" t="s">
        <v>1923</v>
      </c>
      <c r="D253">
        <v>29.25</v>
      </c>
      <c r="E253">
        <v>0.017659283822868</v>
      </c>
      <c r="F253" t="s">
        <v>1921</v>
      </c>
      <c r="G253" t="s">
        <v>1921</v>
      </c>
      <c r="H253">
        <v>0.516534051818912</v>
      </c>
      <c r="I253">
        <v>717.237261</v>
      </c>
      <c r="J253">
        <v>0</v>
      </c>
      <c r="K253" t="s">
        <v>1921</v>
      </c>
      <c r="L253">
        <v>0.514065292267338</v>
      </c>
      <c r="M253">
        <v>32.96</v>
      </c>
      <c r="N253">
        <v>25.69</v>
      </c>
    </row>
    <row r="254" spans="1:14">
      <c r="A254" s="1" t="s">
        <v>266</v>
      </c>
      <c r="B254">
        <f>HYPERLINK("https://www.suredividend.com/sure-analysis-CBU/","Community Bank System, Inc.")</f>
        <v>0</v>
      </c>
      <c r="C254" t="s">
        <v>1923</v>
      </c>
      <c r="D254">
        <v>63.39</v>
      </c>
      <c r="E254">
        <v>0.02776463164536993</v>
      </c>
      <c r="F254">
        <v>0.02325581395348841</v>
      </c>
      <c r="G254">
        <v>0.05291848906511043</v>
      </c>
      <c r="H254">
        <v>1.72188143733727</v>
      </c>
      <c r="I254">
        <v>3406.223426</v>
      </c>
      <c r="J254">
        <v>19.06635521676341</v>
      </c>
      <c r="K254">
        <v>0.5233682180356444</v>
      </c>
      <c r="L254">
        <v>0.5936251837345531</v>
      </c>
      <c r="M254">
        <v>75.92</v>
      </c>
      <c r="N254">
        <v>58.28</v>
      </c>
    </row>
    <row r="255" spans="1:14">
      <c r="A255" s="1" t="s">
        <v>267</v>
      </c>
      <c r="B255">
        <f>HYPERLINK("https://www.suredividend.com/sure-analysis-research-database/","Cbiz Inc")</f>
        <v>0</v>
      </c>
      <c r="C255" t="s">
        <v>1924</v>
      </c>
      <c r="D255">
        <v>45.77</v>
      </c>
      <c r="E255">
        <v>0</v>
      </c>
      <c r="F255" t="s">
        <v>1921</v>
      </c>
      <c r="G255" t="s">
        <v>1921</v>
      </c>
      <c r="H255">
        <v>0</v>
      </c>
      <c r="I255">
        <v>2326.613091</v>
      </c>
      <c r="J255">
        <v>21.69700360834453</v>
      </c>
      <c r="K255">
        <v>0</v>
      </c>
      <c r="L255">
        <v>0.71019630702684</v>
      </c>
      <c r="M255">
        <v>51.67</v>
      </c>
      <c r="N255">
        <v>35.46</v>
      </c>
    </row>
    <row r="256" spans="1:14">
      <c r="A256" s="1" t="s">
        <v>268</v>
      </c>
      <c r="B256">
        <f>HYPERLINK("https://www.suredividend.com/sure-analysis-research-database/","Coastal Financial Corp")</f>
        <v>0</v>
      </c>
      <c r="C256" t="s">
        <v>1923</v>
      </c>
      <c r="D256">
        <v>44.47</v>
      </c>
      <c r="E256">
        <v>0</v>
      </c>
      <c r="F256" t="s">
        <v>1921</v>
      </c>
      <c r="G256" t="s">
        <v>1921</v>
      </c>
      <c r="H256">
        <v>0</v>
      </c>
      <c r="I256">
        <v>576.421385</v>
      </c>
      <c r="J256">
        <v>0</v>
      </c>
      <c r="K256" t="s">
        <v>1921</v>
      </c>
      <c r="L256">
        <v>0.757254833899725</v>
      </c>
      <c r="M256">
        <v>54.53</v>
      </c>
      <c r="N256">
        <v>35.61</v>
      </c>
    </row>
    <row r="257" spans="1:14">
      <c r="A257" s="1" t="s">
        <v>269</v>
      </c>
      <c r="B257">
        <f>HYPERLINK("https://www.suredividend.com/sure-analysis-research-database/","Capital City Bank Group, Inc.")</f>
        <v>0</v>
      </c>
      <c r="C257" t="s">
        <v>1923</v>
      </c>
      <c r="D257">
        <v>31.56</v>
      </c>
      <c r="E257">
        <v>0.020754309421129</v>
      </c>
      <c r="F257">
        <v>0.0625</v>
      </c>
      <c r="G257">
        <v>0.1941810528171777</v>
      </c>
      <c r="H257">
        <v>0.6550060053308571</v>
      </c>
      <c r="I257">
        <v>535.314787</v>
      </c>
      <c r="J257">
        <v>15.3583355822694</v>
      </c>
      <c r="K257">
        <v>0.3179640802576976</v>
      </c>
      <c r="L257">
        <v>0.427389028455858</v>
      </c>
      <c r="M257">
        <v>36.05</v>
      </c>
      <c r="N257">
        <v>24.04</v>
      </c>
    </row>
    <row r="258" spans="1:14">
      <c r="A258" s="1" t="s">
        <v>270</v>
      </c>
      <c r="B258">
        <f>HYPERLINK("https://www.suredividend.com/sure-analysis-research-database/","C4 Therapeutics Inc")</f>
        <v>0</v>
      </c>
      <c r="C258" t="s">
        <v>1921</v>
      </c>
      <c r="D258">
        <v>7.15</v>
      </c>
      <c r="E258">
        <v>0</v>
      </c>
      <c r="F258" t="s">
        <v>1921</v>
      </c>
      <c r="G258" t="s">
        <v>1921</v>
      </c>
      <c r="H258">
        <v>0</v>
      </c>
      <c r="I258">
        <v>350.0426</v>
      </c>
      <c r="J258">
        <v>0</v>
      </c>
      <c r="K258" t="s">
        <v>1921</v>
      </c>
      <c r="L258">
        <v>2.010168519296586</v>
      </c>
      <c r="M258">
        <v>31.33</v>
      </c>
      <c r="N258">
        <v>4.84</v>
      </c>
    </row>
    <row r="259" spans="1:14">
      <c r="A259" s="1" t="s">
        <v>271</v>
      </c>
      <c r="B259">
        <f>HYPERLINK("https://www.suredividend.com/sure-analysis-research-database/","Chase Corp.")</f>
        <v>0</v>
      </c>
      <c r="C259" t="s">
        <v>1925</v>
      </c>
      <c r="D259">
        <v>89.98</v>
      </c>
      <c r="E259">
        <v>0.011113580795732</v>
      </c>
      <c r="F259" t="s">
        <v>1921</v>
      </c>
      <c r="G259" t="s">
        <v>1921</v>
      </c>
      <c r="H259">
        <v>1</v>
      </c>
      <c r="I259">
        <v>854.8116199999999</v>
      </c>
      <c r="J259">
        <v>0</v>
      </c>
      <c r="K259" t="s">
        <v>1921</v>
      </c>
      <c r="L259">
        <v>0.721678035200071</v>
      </c>
      <c r="M259">
        <v>99.62</v>
      </c>
      <c r="N259">
        <v>73.56</v>
      </c>
    </row>
    <row r="260" spans="1:14">
      <c r="A260" s="1" t="s">
        <v>272</v>
      </c>
      <c r="B260">
        <f>HYPERLINK("https://www.suredividend.com/sure-analysis-research-database/","CMC Materials Inc")</f>
        <v>0</v>
      </c>
      <c r="C260" t="s">
        <v>1920</v>
      </c>
      <c r="D260">
        <v>173.69</v>
      </c>
      <c r="E260">
        <v>0</v>
      </c>
      <c r="F260" t="s">
        <v>1921</v>
      </c>
      <c r="G260" t="s">
        <v>1921</v>
      </c>
      <c r="H260">
        <v>1.38000002503395</v>
      </c>
      <c r="I260">
        <v>0</v>
      </c>
      <c r="J260">
        <v>0</v>
      </c>
      <c r="K260">
        <v>0.3565891537555426</v>
      </c>
    </row>
    <row r="261" spans="1:14">
      <c r="A261" s="1" t="s">
        <v>273</v>
      </c>
      <c r="B261">
        <f>HYPERLINK("https://www.suredividend.com/sure-analysis-research-database/","CNB Financial Corp (PA)")</f>
        <v>0</v>
      </c>
      <c r="C261" t="s">
        <v>1923</v>
      </c>
      <c r="D261">
        <v>23.46</v>
      </c>
      <c r="E261">
        <v>0.029586594360256</v>
      </c>
      <c r="F261">
        <v>0</v>
      </c>
      <c r="G261">
        <v>0.01183761651824167</v>
      </c>
      <c r="H261">
        <v>0.694101503691621</v>
      </c>
      <c r="I261">
        <v>495.483317</v>
      </c>
      <c r="J261">
        <v>8.633015945220755</v>
      </c>
      <c r="K261">
        <v>0.204749706103723</v>
      </c>
      <c r="L261">
        <v>0.5542875167129651</v>
      </c>
      <c r="M261">
        <v>28.12</v>
      </c>
      <c r="N261">
        <v>22.74</v>
      </c>
    </row>
    <row r="262" spans="1:14">
      <c r="A262" s="1" t="s">
        <v>274</v>
      </c>
      <c r="B262">
        <f>HYPERLINK("https://www.suredividend.com/sure-analysis-research-database/","Clear Channel Outdoor Holdings Inc.")</f>
        <v>0</v>
      </c>
      <c r="C262" t="s">
        <v>1931</v>
      </c>
      <c r="D262">
        <v>1.18</v>
      </c>
      <c r="E262">
        <v>0</v>
      </c>
      <c r="F262" t="s">
        <v>1921</v>
      </c>
      <c r="G262" t="s">
        <v>1921</v>
      </c>
      <c r="H262">
        <v>0</v>
      </c>
      <c r="I262">
        <v>561.7453870000001</v>
      </c>
      <c r="J262" t="s">
        <v>1921</v>
      </c>
      <c r="K262">
        <v>-0</v>
      </c>
      <c r="L262">
        <v>1.973727922729561</v>
      </c>
      <c r="M262">
        <v>4.1</v>
      </c>
      <c r="N262">
        <v>0.9069</v>
      </c>
    </row>
    <row r="263" spans="1:14">
      <c r="A263" s="1" t="s">
        <v>275</v>
      </c>
      <c r="B263">
        <f>HYPERLINK("https://www.suredividend.com/sure-analysis-CCOI/","Cogent Communications Holdings Inc")</f>
        <v>0</v>
      </c>
      <c r="C263" t="s">
        <v>1931</v>
      </c>
      <c r="D263">
        <v>60.85</v>
      </c>
      <c r="E263">
        <v>0.06014790468364831</v>
      </c>
      <c r="F263">
        <v>0.1024096385542168</v>
      </c>
      <c r="G263">
        <v>0.1284705195585212</v>
      </c>
      <c r="H263">
        <v>3.475464494481548</v>
      </c>
      <c r="I263">
        <v>2921.411056</v>
      </c>
      <c r="J263">
        <v>128.1264442656024</v>
      </c>
      <c r="K263">
        <v>7.20005074473078</v>
      </c>
      <c r="L263">
        <v>0.6847058751284331</v>
      </c>
      <c r="M263">
        <v>68.95</v>
      </c>
      <c r="N263">
        <v>46.01</v>
      </c>
    </row>
    <row r="264" spans="1:14">
      <c r="A264" s="1" t="s">
        <v>276</v>
      </c>
      <c r="B264">
        <f>HYPERLINK("https://www.suredividend.com/sure-analysis-research-database/","CoreCard Corporation")</f>
        <v>0</v>
      </c>
      <c r="C264" t="s">
        <v>1921</v>
      </c>
      <c r="D264">
        <v>31.47</v>
      </c>
      <c r="E264">
        <v>0</v>
      </c>
      <c r="F264" t="s">
        <v>1921</v>
      </c>
      <c r="G264" t="s">
        <v>1921</v>
      </c>
      <c r="H264">
        <v>0</v>
      </c>
      <c r="I264">
        <v>267.899987</v>
      </c>
      <c r="J264">
        <v>0</v>
      </c>
      <c r="K264" t="s">
        <v>1921</v>
      </c>
      <c r="L264">
        <v>0.640313662409422</v>
      </c>
      <c r="M264">
        <v>39.12</v>
      </c>
      <c r="N264">
        <v>20.45</v>
      </c>
    </row>
    <row r="265" spans="1:14">
      <c r="A265" s="1" t="s">
        <v>277</v>
      </c>
      <c r="B265">
        <f>HYPERLINK("https://www.suredividend.com/sure-analysis-research-database/","Cross Country Healthcares, Inc.")</f>
        <v>0</v>
      </c>
      <c r="C265" t="s">
        <v>1924</v>
      </c>
      <c r="D265">
        <v>28.32</v>
      </c>
      <c r="E265">
        <v>0</v>
      </c>
      <c r="F265" t="s">
        <v>1921</v>
      </c>
      <c r="G265" t="s">
        <v>1921</v>
      </c>
      <c r="H265">
        <v>0</v>
      </c>
      <c r="I265">
        <v>1056.207569</v>
      </c>
      <c r="J265">
        <v>4.647921250819607</v>
      </c>
      <c r="K265">
        <v>0</v>
      </c>
      <c r="L265">
        <v>1.088604023110962</v>
      </c>
      <c r="M265">
        <v>40.12</v>
      </c>
      <c r="N265">
        <v>15.26</v>
      </c>
    </row>
    <row r="266" spans="1:14">
      <c r="A266" s="1" t="s">
        <v>278</v>
      </c>
      <c r="B266">
        <f>HYPERLINK("https://www.suredividend.com/sure-analysis-research-database/","Century Communities Inc")</f>
        <v>0</v>
      </c>
      <c r="C266" t="s">
        <v>1927</v>
      </c>
      <c r="D266">
        <v>54.96</v>
      </c>
      <c r="E266">
        <v>0.014479703929478</v>
      </c>
      <c r="F266" t="s">
        <v>1921</v>
      </c>
      <c r="G266" t="s">
        <v>1921</v>
      </c>
      <c r="H266">
        <v>0.795804527964161</v>
      </c>
      <c r="I266">
        <v>1746.207532</v>
      </c>
      <c r="J266">
        <v>0</v>
      </c>
      <c r="K266" t="s">
        <v>1921</v>
      </c>
      <c r="L266">
        <v>1.478825332338372</v>
      </c>
      <c r="M266">
        <v>75.83</v>
      </c>
      <c r="N266">
        <v>38.67</v>
      </c>
    </row>
    <row r="267" spans="1:14">
      <c r="A267" s="1" t="s">
        <v>279</v>
      </c>
      <c r="B267">
        <f>HYPERLINK("https://www.suredividend.com/sure-analysis-research-database/","Consensus Cloud Solutions Inc")</f>
        <v>0</v>
      </c>
      <c r="C267" t="s">
        <v>1921</v>
      </c>
      <c r="D267">
        <v>54.18</v>
      </c>
      <c r="E267">
        <v>0</v>
      </c>
      <c r="F267" t="s">
        <v>1921</v>
      </c>
      <c r="G267" t="s">
        <v>1921</v>
      </c>
      <c r="H267">
        <v>0</v>
      </c>
      <c r="I267">
        <v>1074.272154</v>
      </c>
      <c r="J267">
        <v>0</v>
      </c>
      <c r="K267" t="s">
        <v>1921</v>
      </c>
      <c r="L267">
        <v>1.112395132814862</v>
      </c>
      <c r="M267">
        <v>65.68000000000001</v>
      </c>
      <c r="N267">
        <v>37.75</v>
      </c>
    </row>
    <row r="268" spans="1:14">
      <c r="A268" s="1" t="s">
        <v>280</v>
      </c>
      <c r="B268">
        <f>HYPERLINK("https://www.suredividend.com/sure-analysis-research-database/","ChemoCentryx Inc")</f>
        <v>0</v>
      </c>
      <c r="C268" t="s">
        <v>1922</v>
      </c>
      <c r="D268">
        <v>51.99</v>
      </c>
      <c r="E268">
        <v>0</v>
      </c>
      <c r="F268" t="s">
        <v>1921</v>
      </c>
      <c r="G268" t="s">
        <v>1921</v>
      </c>
      <c r="H268">
        <v>0</v>
      </c>
      <c r="I268">
        <v>0</v>
      </c>
      <c r="J268">
        <v>0</v>
      </c>
      <c r="K268" t="s">
        <v>1921</v>
      </c>
    </row>
    <row r="269" spans="1:14">
      <c r="A269" s="1" t="s">
        <v>281</v>
      </c>
      <c r="B269">
        <f>HYPERLINK("https://www.suredividend.com/sure-analysis-research-database/","Codiak Biosciences Inc")</f>
        <v>0</v>
      </c>
      <c r="C269" t="s">
        <v>1921</v>
      </c>
      <c r="D269">
        <v>0.53</v>
      </c>
      <c r="E269">
        <v>0</v>
      </c>
      <c r="F269" t="s">
        <v>1921</v>
      </c>
      <c r="G269" t="s">
        <v>1921</v>
      </c>
      <c r="H269">
        <v>0</v>
      </c>
      <c r="I269">
        <v>19.519702</v>
      </c>
      <c r="J269">
        <v>0</v>
      </c>
      <c r="K269" t="s">
        <v>1921</v>
      </c>
      <c r="L269">
        <v>1.534244980917619</v>
      </c>
      <c r="M269">
        <v>10.79</v>
      </c>
      <c r="N269">
        <v>0.3</v>
      </c>
    </row>
    <row r="270" spans="1:14">
      <c r="A270" s="1" t="s">
        <v>282</v>
      </c>
      <c r="B270">
        <f>HYPERLINK("https://www.suredividend.com/sure-analysis-research-database/","Coeur Mining Inc")</f>
        <v>0</v>
      </c>
      <c r="C270" t="s">
        <v>1925</v>
      </c>
      <c r="D270">
        <v>3.71</v>
      </c>
      <c r="E270">
        <v>0</v>
      </c>
      <c r="F270" t="s">
        <v>1921</v>
      </c>
      <c r="G270" t="s">
        <v>1921</v>
      </c>
      <c r="H270">
        <v>0</v>
      </c>
      <c r="I270">
        <v>1042.283423</v>
      </c>
      <c r="J270" t="s">
        <v>1921</v>
      </c>
      <c r="K270">
        <v>-0</v>
      </c>
      <c r="L270">
        <v>1.359000756074621</v>
      </c>
      <c r="M270">
        <v>5.54</v>
      </c>
      <c r="N270">
        <v>2.54</v>
      </c>
    </row>
    <row r="271" spans="1:14">
      <c r="A271" s="1" t="s">
        <v>283</v>
      </c>
      <c r="B271">
        <f>HYPERLINK("https://www.suredividend.com/sure-analysis-research-database/","Permian Resources Corp")</f>
        <v>0</v>
      </c>
      <c r="C271" t="s">
        <v>1926</v>
      </c>
      <c r="D271">
        <v>7.62</v>
      </c>
      <c r="E271">
        <v>0</v>
      </c>
      <c r="F271" t="s">
        <v>1921</v>
      </c>
      <c r="G271" t="s">
        <v>1921</v>
      </c>
      <c r="H271">
        <v>0</v>
      </c>
      <c r="I271">
        <v>2171.643993</v>
      </c>
      <c r="J271">
        <v>5.355432618254365</v>
      </c>
      <c r="K271">
        <v>0</v>
      </c>
      <c r="L271">
        <v>1.201022598731073</v>
      </c>
      <c r="M271">
        <v>9.699999999999999</v>
      </c>
      <c r="N271">
        <v>5.05</v>
      </c>
    </row>
    <row r="272" spans="1:14">
      <c r="A272" s="1" t="s">
        <v>284</v>
      </c>
      <c r="B272">
        <f>HYPERLINK("https://www.suredividend.com/sure-analysis-research-database/","Cardlytics Inc")</f>
        <v>0</v>
      </c>
      <c r="C272" t="s">
        <v>1931</v>
      </c>
      <c r="D272">
        <v>4.83</v>
      </c>
      <c r="E272">
        <v>0</v>
      </c>
      <c r="F272" t="s">
        <v>1921</v>
      </c>
      <c r="G272" t="s">
        <v>1921</v>
      </c>
      <c r="H272">
        <v>0</v>
      </c>
      <c r="I272">
        <v>160.191041</v>
      </c>
      <c r="J272" t="s">
        <v>1921</v>
      </c>
      <c r="K272">
        <v>-0</v>
      </c>
      <c r="L272">
        <v>2.809167824996793</v>
      </c>
      <c r="M272">
        <v>73.41</v>
      </c>
      <c r="N272">
        <v>3.5</v>
      </c>
    </row>
    <row r="273" spans="1:14">
      <c r="A273" s="1" t="s">
        <v>285</v>
      </c>
      <c r="B273">
        <f>HYPERLINK("https://www.suredividend.com/sure-analysis-research-database/","Avid Bioservices Inc")</f>
        <v>0</v>
      </c>
      <c r="C273" t="s">
        <v>1922</v>
      </c>
      <c r="D273">
        <v>14.63</v>
      </c>
      <c r="E273">
        <v>0</v>
      </c>
      <c r="F273" t="s">
        <v>1921</v>
      </c>
      <c r="G273" t="s">
        <v>1921</v>
      </c>
      <c r="H273">
        <v>0</v>
      </c>
      <c r="I273">
        <v>911.5859809999999</v>
      </c>
      <c r="J273">
        <v>7.708711592757962</v>
      </c>
      <c r="K273">
        <v>0</v>
      </c>
      <c r="L273">
        <v>1.615883636998724</v>
      </c>
      <c r="M273">
        <v>23.28</v>
      </c>
      <c r="N273">
        <v>11.3</v>
      </c>
    </row>
    <row r="274" spans="1:14">
      <c r="A274" s="1" t="s">
        <v>286</v>
      </c>
      <c r="B274">
        <f>HYPERLINK("https://www.suredividend.com/sure-analysis-research-database/","Caredx Inc")</f>
        <v>0</v>
      </c>
      <c r="C274" t="s">
        <v>1922</v>
      </c>
      <c r="D274">
        <v>11.87</v>
      </c>
      <c r="E274">
        <v>0</v>
      </c>
      <c r="F274" t="s">
        <v>1921</v>
      </c>
      <c r="G274" t="s">
        <v>1921</v>
      </c>
      <c r="H274">
        <v>0</v>
      </c>
      <c r="I274">
        <v>635.4875970000001</v>
      </c>
      <c r="J274">
        <v>0</v>
      </c>
      <c r="K274" t="s">
        <v>1921</v>
      </c>
      <c r="L274">
        <v>1.647566121630412</v>
      </c>
      <c r="M274">
        <v>46.88</v>
      </c>
      <c r="N274">
        <v>10.5</v>
      </c>
    </row>
    <row r="275" spans="1:14">
      <c r="A275" s="1" t="s">
        <v>287</v>
      </c>
      <c r="B275">
        <f>HYPERLINK("https://www.suredividend.com/sure-analysis-research-database/","Cadre Holdings Inc")</f>
        <v>0</v>
      </c>
      <c r="C275" t="s">
        <v>1921</v>
      </c>
      <c r="D275">
        <v>21.24</v>
      </c>
      <c r="E275">
        <v>0.014997738770286</v>
      </c>
      <c r="F275" t="s">
        <v>1921</v>
      </c>
      <c r="G275" t="s">
        <v>1921</v>
      </c>
      <c r="H275">
        <v>0.318551971480885</v>
      </c>
      <c r="I275">
        <v>792.937436</v>
      </c>
      <c r="J275">
        <v>0</v>
      </c>
      <c r="K275" t="s">
        <v>1921</v>
      </c>
      <c r="L275">
        <v>0.8622110394981011</v>
      </c>
      <c r="M275">
        <v>31.5</v>
      </c>
      <c r="N275">
        <v>17.63</v>
      </c>
    </row>
    <row r="276" spans="1:14">
      <c r="A276" s="1" t="s">
        <v>288</v>
      </c>
      <c r="B276">
        <f>HYPERLINK("https://www.suredividend.com/sure-analysis-research-database/","Chromadex Corp")</f>
        <v>0</v>
      </c>
      <c r="C276" t="s">
        <v>1922</v>
      </c>
      <c r="D276">
        <v>1.91</v>
      </c>
      <c r="E276">
        <v>0</v>
      </c>
      <c r="F276" t="s">
        <v>1921</v>
      </c>
      <c r="G276" t="s">
        <v>1921</v>
      </c>
      <c r="H276">
        <v>0</v>
      </c>
      <c r="I276">
        <v>142.235158</v>
      </c>
      <c r="J276">
        <v>0</v>
      </c>
      <c r="K276" t="s">
        <v>1921</v>
      </c>
      <c r="L276">
        <v>1.628101649071754</v>
      </c>
      <c r="M276">
        <v>3.34</v>
      </c>
      <c r="N276">
        <v>1.15</v>
      </c>
    </row>
    <row r="277" spans="1:14">
      <c r="A277" s="1" t="s">
        <v>289</v>
      </c>
      <c r="B277">
        <f>HYPERLINK("https://www.suredividend.com/sure-analysis-research-database/","Codexis Inc.")</f>
        <v>0</v>
      </c>
      <c r="C277" t="s">
        <v>1922</v>
      </c>
      <c r="D277">
        <v>5.61</v>
      </c>
      <c r="E277">
        <v>0</v>
      </c>
      <c r="F277" t="s">
        <v>1921</v>
      </c>
      <c r="G277" t="s">
        <v>1921</v>
      </c>
      <c r="H277">
        <v>0</v>
      </c>
      <c r="I277">
        <v>368.504137</v>
      </c>
      <c r="J277">
        <v>0</v>
      </c>
      <c r="K277" t="s">
        <v>1921</v>
      </c>
      <c r="L277">
        <v>1.878019016751084</v>
      </c>
      <c r="M277">
        <v>27.3</v>
      </c>
      <c r="N277">
        <v>4.21</v>
      </c>
    </row>
    <row r="278" spans="1:14">
      <c r="A278" s="1" t="s">
        <v>290</v>
      </c>
      <c r="B278">
        <f>HYPERLINK("https://www.suredividend.com/sure-analysis-research-database/","Cadiz Inc.")</f>
        <v>0</v>
      </c>
      <c r="C278" t="s">
        <v>1930</v>
      </c>
      <c r="D278">
        <v>3.02</v>
      </c>
      <c r="E278">
        <v>0</v>
      </c>
      <c r="F278" t="s">
        <v>1921</v>
      </c>
      <c r="G278" t="s">
        <v>1921</v>
      </c>
      <c r="H278">
        <v>0</v>
      </c>
      <c r="I278">
        <v>153.487906</v>
      </c>
      <c r="J278" t="s">
        <v>1921</v>
      </c>
      <c r="K278">
        <v>-0</v>
      </c>
      <c r="L278">
        <v>1.204831697608454</v>
      </c>
      <c r="M278">
        <v>5.23</v>
      </c>
      <c r="N278">
        <v>1.48</v>
      </c>
    </row>
    <row r="279" spans="1:14">
      <c r="A279" s="1" t="s">
        <v>291</v>
      </c>
      <c r="B279">
        <f>HYPERLINK("https://www.suredividend.com/sure-analysis-research-database/","Ceco Environmental Corp.")</f>
        <v>0</v>
      </c>
      <c r="C279" t="s">
        <v>1924</v>
      </c>
      <c r="D279">
        <v>11.65</v>
      </c>
      <c r="E279">
        <v>0</v>
      </c>
      <c r="F279" t="s">
        <v>1921</v>
      </c>
      <c r="G279" t="s">
        <v>1921</v>
      </c>
      <c r="H279">
        <v>0</v>
      </c>
      <c r="I279">
        <v>401.915773</v>
      </c>
      <c r="J279">
        <v>0</v>
      </c>
      <c r="K279" t="s">
        <v>1921</v>
      </c>
      <c r="L279">
        <v>0.8633191541147001</v>
      </c>
      <c r="M279">
        <v>12.54</v>
      </c>
      <c r="N279">
        <v>4.09</v>
      </c>
    </row>
    <row r="280" spans="1:14">
      <c r="A280" s="1" t="s">
        <v>292</v>
      </c>
      <c r="B280">
        <f>HYPERLINK("https://www.suredividend.com/sure-analysis-research-database/","Consol Energy Inc")</f>
        <v>0</v>
      </c>
      <c r="C280" t="s">
        <v>1926</v>
      </c>
      <c r="D280">
        <v>58.45</v>
      </c>
      <c r="E280">
        <v>0.017651522994212</v>
      </c>
      <c r="F280" t="s">
        <v>1921</v>
      </c>
      <c r="G280" t="s">
        <v>1921</v>
      </c>
      <c r="H280">
        <v>1.031731519011693</v>
      </c>
      <c r="I280">
        <v>2038.230875</v>
      </c>
      <c r="J280">
        <v>5.209069795928799</v>
      </c>
      <c r="K280">
        <v>0.09430818272501763</v>
      </c>
      <c r="L280">
        <v>0.8674258796660961</v>
      </c>
      <c r="M280">
        <v>78.5</v>
      </c>
      <c r="N280">
        <v>18.19</v>
      </c>
    </row>
    <row r="281" spans="1:14">
      <c r="A281" s="1" t="s">
        <v>293</v>
      </c>
      <c r="B281">
        <f>HYPERLINK("https://www.suredividend.com/sure-analysis-research-database/","Celcuity Inc")</f>
        <v>0</v>
      </c>
      <c r="C281" t="s">
        <v>1922</v>
      </c>
      <c r="D281">
        <v>10.82</v>
      </c>
      <c r="E281">
        <v>0</v>
      </c>
      <c r="F281" t="s">
        <v>1921</v>
      </c>
      <c r="G281" t="s">
        <v>1921</v>
      </c>
      <c r="H281">
        <v>0</v>
      </c>
      <c r="I281">
        <v>234.439645</v>
      </c>
      <c r="J281">
        <v>0</v>
      </c>
      <c r="K281" t="s">
        <v>1921</v>
      </c>
      <c r="L281">
        <v>0.6736060457577681</v>
      </c>
      <c r="M281">
        <v>14.4</v>
      </c>
      <c r="N281">
        <v>4.81</v>
      </c>
    </row>
    <row r="282" spans="1:14">
      <c r="A282" s="1" t="s">
        <v>294</v>
      </c>
      <c r="B282">
        <f>HYPERLINK("https://www.suredividend.com/sure-analysis-research-database/","Celsius Holdings Inc")</f>
        <v>0</v>
      </c>
      <c r="C282" t="s">
        <v>1928</v>
      </c>
      <c r="D282">
        <v>97.67</v>
      </c>
      <c r="E282">
        <v>0</v>
      </c>
      <c r="F282" t="s">
        <v>1921</v>
      </c>
      <c r="G282" t="s">
        <v>1921</v>
      </c>
      <c r="H282">
        <v>0</v>
      </c>
      <c r="I282">
        <v>7444.915382</v>
      </c>
      <c r="J282">
        <v>0</v>
      </c>
      <c r="K282" t="s">
        <v>1921</v>
      </c>
      <c r="L282">
        <v>2.103215724670908</v>
      </c>
      <c r="M282">
        <v>122.24</v>
      </c>
      <c r="N282">
        <v>38.31</v>
      </c>
    </row>
    <row r="283" spans="1:14">
      <c r="A283" s="1" t="s">
        <v>295</v>
      </c>
      <c r="B283">
        <f>HYPERLINK("https://www.suredividend.com/sure-analysis-research-database/","Central Garden &amp; Pet Co.")</f>
        <v>0</v>
      </c>
      <c r="C283" t="s">
        <v>1928</v>
      </c>
      <c r="D283">
        <v>37.43</v>
      </c>
      <c r="E283">
        <v>0</v>
      </c>
      <c r="F283" t="s">
        <v>1921</v>
      </c>
      <c r="G283" t="s">
        <v>1921</v>
      </c>
      <c r="H283">
        <v>0</v>
      </c>
      <c r="I283">
        <v>1893.855941</v>
      </c>
      <c r="J283">
        <v>12.44713142890005</v>
      </c>
      <c r="K283">
        <v>0</v>
      </c>
      <c r="L283">
        <v>0.624496683881922</v>
      </c>
      <c r="M283">
        <v>50.9</v>
      </c>
      <c r="N283">
        <v>35.61</v>
      </c>
    </row>
    <row r="284" spans="1:14">
      <c r="A284" s="1" t="s">
        <v>296</v>
      </c>
      <c r="B284">
        <f>HYPERLINK("https://www.suredividend.com/sure-analysis-research-database/","Central Garden &amp; Pet Co.")</f>
        <v>0</v>
      </c>
      <c r="C284" t="s">
        <v>1928</v>
      </c>
      <c r="D284">
        <v>35.7</v>
      </c>
      <c r="E284">
        <v>0</v>
      </c>
      <c r="F284" t="s">
        <v>1921</v>
      </c>
      <c r="G284" t="s">
        <v>1921</v>
      </c>
      <c r="H284">
        <v>0</v>
      </c>
      <c r="I284">
        <v>1893.855941</v>
      </c>
      <c r="J284">
        <v>0</v>
      </c>
      <c r="K284" t="s">
        <v>1921</v>
      </c>
      <c r="L284">
        <v>0.619125914424091</v>
      </c>
      <c r="M284">
        <v>46.96</v>
      </c>
      <c r="N284">
        <v>33.69</v>
      </c>
    </row>
    <row r="285" spans="1:14">
      <c r="A285" s="1" t="s">
        <v>297</v>
      </c>
      <c r="B285">
        <f>HYPERLINK("https://www.suredividend.com/sure-analysis-research-database/","Century Aluminum Co.")</f>
        <v>0</v>
      </c>
      <c r="C285" t="s">
        <v>1925</v>
      </c>
      <c r="D285">
        <v>9.6</v>
      </c>
      <c r="E285">
        <v>0</v>
      </c>
      <c r="F285" t="s">
        <v>1921</v>
      </c>
      <c r="G285" t="s">
        <v>1921</v>
      </c>
      <c r="H285">
        <v>0</v>
      </c>
      <c r="I285">
        <v>876.933398</v>
      </c>
      <c r="J285">
        <v>5.70548730253741</v>
      </c>
      <c r="K285">
        <v>0</v>
      </c>
      <c r="L285">
        <v>2.008431981664559</v>
      </c>
      <c r="M285">
        <v>30.36</v>
      </c>
      <c r="N285">
        <v>5.27</v>
      </c>
    </row>
    <row r="286" spans="1:14">
      <c r="A286" s="1" t="s">
        <v>298</v>
      </c>
      <c r="B286">
        <f>HYPERLINK("https://www.suredividend.com/sure-analysis-research-database/","Cerevel Therapeutics Holdings Inc")</f>
        <v>0</v>
      </c>
      <c r="C286" t="s">
        <v>1921</v>
      </c>
      <c r="D286">
        <v>30.18</v>
      </c>
      <c r="E286">
        <v>0</v>
      </c>
      <c r="F286" t="s">
        <v>1921</v>
      </c>
      <c r="G286" t="s">
        <v>1921</v>
      </c>
      <c r="H286">
        <v>0</v>
      </c>
      <c r="I286">
        <v>4717.814619</v>
      </c>
      <c r="J286">
        <v>0</v>
      </c>
      <c r="K286" t="s">
        <v>1921</v>
      </c>
      <c r="L286">
        <v>1.450220950956072</v>
      </c>
      <c r="M286">
        <v>41.46</v>
      </c>
      <c r="N286">
        <v>19.86</v>
      </c>
    </row>
    <row r="287" spans="1:14">
      <c r="A287" s="1" t="s">
        <v>299</v>
      </c>
      <c r="B287">
        <f>HYPERLINK("https://www.suredividend.com/sure-analysis-research-database/","Cerus Corp.")</f>
        <v>0</v>
      </c>
      <c r="C287" t="s">
        <v>1922</v>
      </c>
      <c r="D287">
        <v>2.72</v>
      </c>
      <c r="E287">
        <v>0</v>
      </c>
      <c r="F287" t="s">
        <v>1921</v>
      </c>
      <c r="G287" t="s">
        <v>1921</v>
      </c>
      <c r="H287">
        <v>0</v>
      </c>
      <c r="I287">
        <v>482.584965</v>
      </c>
      <c r="J287" t="s">
        <v>1921</v>
      </c>
      <c r="K287">
        <v>-0</v>
      </c>
      <c r="L287">
        <v>1.675030383945084</v>
      </c>
      <c r="M287">
        <v>6.45</v>
      </c>
      <c r="N287">
        <v>2.53</v>
      </c>
    </row>
    <row r="288" spans="1:14">
      <c r="A288" s="1" t="s">
        <v>300</v>
      </c>
      <c r="B288">
        <f>HYPERLINK("https://www.suredividend.com/sure-analysis-research-database/","Ceva Inc.")</f>
        <v>0</v>
      </c>
      <c r="C288" t="s">
        <v>1920</v>
      </c>
      <c r="D288">
        <v>27.59</v>
      </c>
      <c r="E288">
        <v>0</v>
      </c>
      <c r="F288" t="s">
        <v>1921</v>
      </c>
      <c r="G288" t="s">
        <v>1921</v>
      </c>
      <c r="H288">
        <v>0</v>
      </c>
      <c r="I288">
        <v>639.747346</v>
      </c>
      <c r="J288" t="s">
        <v>1921</v>
      </c>
      <c r="K288">
        <v>-0</v>
      </c>
      <c r="L288">
        <v>1.469942161107323</v>
      </c>
      <c r="M288">
        <v>42.25</v>
      </c>
      <c r="N288">
        <v>23.71</v>
      </c>
    </row>
    <row r="289" spans="1:14">
      <c r="A289" s="1" t="s">
        <v>301</v>
      </c>
      <c r="B289">
        <f>HYPERLINK("https://www.suredividend.com/sure-analysis-research-database/","Crossfirst Bankshares Inc")</f>
        <v>0</v>
      </c>
      <c r="C289" t="s">
        <v>1923</v>
      </c>
      <c r="D289">
        <v>12.11</v>
      </c>
      <c r="E289">
        <v>0</v>
      </c>
      <c r="F289" t="s">
        <v>1921</v>
      </c>
      <c r="G289" t="s">
        <v>1921</v>
      </c>
      <c r="H289">
        <v>0</v>
      </c>
      <c r="I289">
        <v>588.761316</v>
      </c>
      <c r="J289">
        <v>0</v>
      </c>
      <c r="K289" t="s">
        <v>1921</v>
      </c>
      <c r="L289">
        <v>0.50243563615748</v>
      </c>
      <c r="M289">
        <v>16.5</v>
      </c>
      <c r="N289">
        <v>11.79</v>
      </c>
    </row>
    <row r="290" spans="1:14">
      <c r="A290" s="1" t="s">
        <v>302</v>
      </c>
      <c r="B290">
        <f>HYPERLINK("https://www.suredividend.com/sure-analysis-research-database/","Capitol Federal Financial")</f>
        <v>0</v>
      </c>
      <c r="C290" t="s">
        <v>1923</v>
      </c>
      <c r="D290">
        <v>8.74</v>
      </c>
      <c r="E290">
        <v>0.036655710886558</v>
      </c>
      <c r="F290">
        <v>2.294117647058824</v>
      </c>
      <c r="G290">
        <v>0.269251896883383</v>
      </c>
      <c r="H290">
        <v>0.320370913148519</v>
      </c>
      <c r="I290">
        <v>1198.220098</v>
      </c>
      <c r="J290">
        <v>14.19557503483082</v>
      </c>
      <c r="K290">
        <v>0.5150657767661078</v>
      </c>
      <c r="L290">
        <v>0.488028453746125</v>
      </c>
      <c r="M290">
        <v>10.73</v>
      </c>
      <c r="N290">
        <v>6.87</v>
      </c>
    </row>
    <row r="291" spans="1:14">
      <c r="A291" s="1" t="s">
        <v>303</v>
      </c>
      <c r="B291">
        <f>HYPERLINK("https://www.suredividend.com/sure-analysis-research-database/","Cullinan Oncology Inc")</f>
        <v>0</v>
      </c>
      <c r="C291" t="s">
        <v>1921</v>
      </c>
      <c r="D291">
        <v>10.49</v>
      </c>
      <c r="E291">
        <v>0</v>
      </c>
      <c r="F291" t="s">
        <v>1921</v>
      </c>
      <c r="G291" t="s">
        <v>1921</v>
      </c>
      <c r="H291">
        <v>0</v>
      </c>
      <c r="I291">
        <v>478.47203</v>
      </c>
      <c r="J291">
        <v>0</v>
      </c>
      <c r="K291" t="s">
        <v>1921</v>
      </c>
      <c r="L291">
        <v>1.311623330528416</v>
      </c>
      <c r="M291">
        <v>15.89</v>
      </c>
      <c r="N291">
        <v>7.3</v>
      </c>
    </row>
    <row r="292" spans="1:14">
      <c r="A292" s="1" t="s">
        <v>304</v>
      </c>
      <c r="B292">
        <f>HYPERLINK("https://www.suredividend.com/sure-analysis-research-database/","City Holding Co.")</f>
        <v>0</v>
      </c>
      <c r="C292" t="s">
        <v>1923</v>
      </c>
      <c r="D292">
        <v>91.55</v>
      </c>
      <c r="E292">
        <v>0.026470379287417</v>
      </c>
      <c r="F292">
        <v>0.1206896551724139</v>
      </c>
      <c r="G292">
        <v>0.07159605222536181</v>
      </c>
      <c r="H292">
        <v>2.423363223763072</v>
      </c>
      <c r="I292">
        <v>1360.042448</v>
      </c>
      <c r="J292">
        <v>14.48564206350052</v>
      </c>
      <c r="K292">
        <v>0.3858858636565402</v>
      </c>
      <c r="L292">
        <v>0.404936158359715</v>
      </c>
      <c r="M292">
        <v>103</v>
      </c>
      <c r="N292">
        <v>72.08</v>
      </c>
    </row>
    <row r="293" spans="1:14">
      <c r="A293" s="1" t="s">
        <v>305</v>
      </c>
      <c r="B293">
        <f>HYPERLINK("https://www.suredividend.com/sure-analysis-CHCT/","Community Healthcare Trust Inc")</f>
        <v>0</v>
      </c>
      <c r="C293" t="s">
        <v>1929</v>
      </c>
      <c r="D293">
        <v>37.85</v>
      </c>
      <c r="E293">
        <v>0.04702774108322325</v>
      </c>
      <c r="F293">
        <v>0.02298850574712641</v>
      </c>
      <c r="G293">
        <v>0.02283263313814854</v>
      </c>
      <c r="H293">
        <v>1.733633502316233</v>
      </c>
      <c r="I293">
        <v>957.57313</v>
      </c>
      <c r="J293">
        <v>47.42339195225833</v>
      </c>
      <c r="K293">
        <v>2.024326835960104</v>
      </c>
      <c r="L293">
        <v>0.589595570424684</v>
      </c>
      <c r="M293">
        <v>45.82</v>
      </c>
      <c r="N293">
        <v>29.99</v>
      </c>
    </row>
    <row r="294" spans="1:14">
      <c r="A294" s="1" t="s">
        <v>306</v>
      </c>
      <c r="B294">
        <f>HYPERLINK("https://www.suredividend.com/sure-analysis-research-database/","Chefs` Warehouse Inc")</f>
        <v>0</v>
      </c>
      <c r="C294" t="s">
        <v>1928</v>
      </c>
      <c r="D294">
        <v>35.78</v>
      </c>
      <c r="E294">
        <v>0</v>
      </c>
      <c r="F294" t="s">
        <v>1921</v>
      </c>
      <c r="G294" t="s">
        <v>1921</v>
      </c>
      <c r="H294">
        <v>0</v>
      </c>
      <c r="I294">
        <v>1369.304428</v>
      </c>
      <c r="J294">
        <v>0</v>
      </c>
      <c r="K294" t="s">
        <v>1921</v>
      </c>
      <c r="L294">
        <v>1.025590529280368</v>
      </c>
      <c r="M294">
        <v>42.16</v>
      </c>
      <c r="N294">
        <v>26.28</v>
      </c>
    </row>
    <row r="295" spans="1:14">
      <c r="A295" s="1" t="s">
        <v>307</v>
      </c>
      <c r="B295">
        <f>HYPERLINK("https://www.suredividend.com/sure-analysis-research-database/","Chesapeake Energy Corp.")</f>
        <v>0</v>
      </c>
      <c r="C295" t="s">
        <v>1926</v>
      </c>
      <c r="D295">
        <v>89.19</v>
      </c>
      <c r="E295">
        <v>0.077473925319145</v>
      </c>
      <c r="F295" t="s">
        <v>1921</v>
      </c>
      <c r="G295" t="s">
        <v>1921</v>
      </c>
      <c r="H295">
        <v>6.909899399214618</v>
      </c>
      <c r="I295">
        <v>11948.88562</v>
      </c>
      <c r="J295">
        <v>0</v>
      </c>
      <c r="K295" t="s">
        <v>1921</v>
      </c>
      <c r="L295">
        <v>0.8074655250628661</v>
      </c>
      <c r="M295">
        <v>106.73</v>
      </c>
      <c r="N295">
        <v>60.1</v>
      </c>
    </row>
    <row r="296" spans="1:14">
      <c r="A296" s="1" t="s">
        <v>308</v>
      </c>
      <c r="B296">
        <f>HYPERLINK("https://www.suredividend.com/sure-analysis-research-database/","Coherus Biosciences Inc")</f>
        <v>0</v>
      </c>
      <c r="C296" t="s">
        <v>1922</v>
      </c>
      <c r="D296">
        <v>8.98</v>
      </c>
      <c r="E296">
        <v>0</v>
      </c>
      <c r="F296" t="s">
        <v>1921</v>
      </c>
      <c r="G296" t="s">
        <v>1921</v>
      </c>
      <c r="H296">
        <v>0</v>
      </c>
      <c r="I296">
        <v>698.445883</v>
      </c>
      <c r="J296" t="s">
        <v>1921</v>
      </c>
      <c r="K296">
        <v>-0</v>
      </c>
      <c r="L296">
        <v>1.49604287738296</v>
      </c>
      <c r="M296">
        <v>14.73</v>
      </c>
      <c r="N296">
        <v>5.58</v>
      </c>
    </row>
    <row r="297" spans="1:14">
      <c r="A297" s="1" t="s">
        <v>309</v>
      </c>
      <c r="B297">
        <f>HYPERLINK("https://www.suredividend.com/sure-analysis-research-database/","Chico`s Fas, Inc.")</f>
        <v>0</v>
      </c>
      <c r="C297" t="s">
        <v>1927</v>
      </c>
      <c r="D297">
        <v>4.82</v>
      </c>
      <c r="E297">
        <v>0</v>
      </c>
      <c r="F297" t="s">
        <v>1921</v>
      </c>
      <c r="G297" t="s">
        <v>1921</v>
      </c>
      <c r="H297">
        <v>0</v>
      </c>
      <c r="I297">
        <v>603.191227</v>
      </c>
      <c r="J297">
        <v>5.393533625666154</v>
      </c>
      <c r="K297">
        <v>0</v>
      </c>
      <c r="L297">
        <v>1.331623122894966</v>
      </c>
      <c r="M297">
        <v>7.31</v>
      </c>
      <c r="N297">
        <v>3.8</v>
      </c>
    </row>
    <row r="298" spans="1:14">
      <c r="A298" s="1" t="s">
        <v>310</v>
      </c>
      <c r="B298">
        <f>HYPERLINK("https://www.suredividend.com/sure-analysis-research-database/","Chuy`s Holdings Inc")</f>
        <v>0</v>
      </c>
      <c r="C298" t="s">
        <v>1927</v>
      </c>
      <c r="D298">
        <v>30.99</v>
      </c>
      <c r="E298">
        <v>0</v>
      </c>
      <c r="F298" t="s">
        <v>1921</v>
      </c>
      <c r="G298" t="s">
        <v>1921</v>
      </c>
      <c r="H298">
        <v>0</v>
      </c>
      <c r="I298">
        <v>557.70512</v>
      </c>
      <c r="J298">
        <v>0</v>
      </c>
      <c r="K298" t="s">
        <v>1921</v>
      </c>
      <c r="L298">
        <v>1.137809011406609</v>
      </c>
      <c r="M298">
        <v>34.64</v>
      </c>
      <c r="N298">
        <v>18.64</v>
      </c>
    </row>
    <row r="299" spans="1:14">
      <c r="A299" s="1" t="s">
        <v>311</v>
      </c>
      <c r="B299">
        <f>HYPERLINK("https://www.suredividend.com/sure-analysis-research-database/","ChampionX Corporation")</f>
        <v>0</v>
      </c>
      <c r="C299" t="s">
        <v>1921</v>
      </c>
      <c r="D299">
        <v>30.25</v>
      </c>
      <c r="E299">
        <v>0.009871699688836002</v>
      </c>
      <c r="F299" t="s">
        <v>1921</v>
      </c>
      <c r="G299" t="s">
        <v>1921</v>
      </c>
      <c r="H299">
        <v>0.29861891558731</v>
      </c>
      <c r="I299">
        <v>6030.632559</v>
      </c>
      <c r="J299">
        <v>46.19015294383468</v>
      </c>
      <c r="K299">
        <v>0.4763421846982134</v>
      </c>
      <c r="L299">
        <v>0.9722939914820831</v>
      </c>
      <c r="M299">
        <v>33.04</v>
      </c>
      <c r="N299">
        <v>16.54</v>
      </c>
    </row>
    <row r="300" spans="1:14">
      <c r="A300" s="1" t="s">
        <v>312</v>
      </c>
      <c r="B300">
        <f>HYPERLINK("https://www.suredividend.com/sure-analysis-research-database/","Citizens, Inc.")</f>
        <v>0</v>
      </c>
      <c r="C300" t="s">
        <v>1923</v>
      </c>
      <c r="D300">
        <v>2.3</v>
      </c>
      <c r="E300">
        <v>0</v>
      </c>
      <c r="F300" t="s">
        <v>1921</v>
      </c>
      <c r="G300" t="s">
        <v>1921</v>
      </c>
      <c r="H300">
        <v>0</v>
      </c>
      <c r="I300">
        <v>115.012986</v>
      </c>
      <c r="J300">
        <v>4.089350606222221</v>
      </c>
      <c r="K300">
        <v>0</v>
      </c>
      <c r="L300">
        <v>0.460844942616596</v>
      </c>
      <c r="M300">
        <v>5.22</v>
      </c>
      <c r="N300">
        <v>1.93</v>
      </c>
    </row>
    <row r="301" spans="1:14">
      <c r="A301" s="1" t="s">
        <v>313</v>
      </c>
      <c r="B301">
        <f>HYPERLINK("https://www.suredividend.com/sure-analysis-CIM/","Chimera Investment Corp")</f>
        <v>0</v>
      </c>
      <c r="C301" t="s">
        <v>1929</v>
      </c>
      <c r="D301">
        <v>6.16</v>
      </c>
      <c r="E301">
        <v>0.1493506493506493</v>
      </c>
      <c r="F301">
        <v>-0.303030303030303</v>
      </c>
      <c r="G301">
        <v>-0.1438466381942645</v>
      </c>
      <c r="H301">
        <v>1.04964285729764</v>
      </c>
      <c r="I301">
        <v>1427.606771</v>
      </c>
      <c r="J301" t="s">
        <v>1921</v>
      </c>
      <c r="K301" t="s">
        <v>1921</v>
      </c>
      <c r="L301">
        <v>1.132632662960465</v>
      </c>
      <c r="M301">
        <v>13.12</v>
      </c>
      <c r="N301">
        <v>4.71</v>
      </c>
    </row>
    <row r="302" spans="1:14">
      <c r="A302" s="1" t="s">
        <v>314</v>
      </c>
      <c r="B302">
        <f>HYPERLINK("https://www.suredividend.com/sure-analysis-research-database/","CinCor Pharma Inc")</f>
        <v>0</v>
      </c>
      <c r="C302" t="s">
        <v>1921</v>
      </c>
      <c r="D302">
        <v>28.74</v>
      </c>
      <c r="E302">
        <v>0</v>
      </c>
      <c r="F302" t="s">
        <v>1921</v>
      </c>
      <c r="G302" t="s">
        <v>1921</v>
      </c>
      <c r="H302">
        <v>0</v>
      </c>
      <c r="I302">
        <v>1257.786643</v>
      </c>
      <c r="J302">
        <v>0</v>
      </c>
      <c r="K302" t="s">
        <v>1921</v>
      </c>
      <c r="L302">
        <v>0.7828561101405911</v>
      </c>
      <c r="M302">
        <v>43.15</v>
      </c>
      <c r="N302">
        <v>10.53</v>
      </c>
    </row>
    <row r="303" spans="1:14">
      <c r="A303" s="1" t="s">
        <v>315</v>
      </c>
      <c r="B303">
        <f>HYPERLINK("https://www.suredividend.com/sure-analysis-CIO/","City Office REIT Inc")</f>
        <v>0</v>
      </c>
      <c r="C303" t="s">
        <v>1929</v>
      </c>
      <c r="D303">
        <v>8.050000000000001</v>
      </c>
      <c r="E303">
        <v>0.09937888198757763</v>
      </c>
      <c r="F303">
        <v>0</v>
      </c>
      <c r="G303">
        <v>-0.03173902863120104</v>
      </c>
      <c r="H303">
        <v>0.9748381573218001</v>
      </c>
      <c r="I303">
        <v>319.736074</v>
      </c>
      <c r="J303">
        <v>0.7026579634008581</v>
      </c>
      <c r="K303">
        <v>0.09455268257243454</v>
      </c>
      <c r="L303">
        <v>0.896865442658862</v>
      </c>
      <c r="M303">
        <v>18.98</v>
      </c>
      <c r="N303">
        <v>7.96</v>
      </c>
    </row>
    <row r="304" spans="1:14">
      <c r="A304" s="1" t="s">
        <v>316</v>
      </c>
      <c r="B304">
        <f>HYPERLINK("https://www.suredividend.com/sure-analysis-research-database/","Circor International Inc")</f>
        <v>0</v>
      </c>
      <c r="C304" t="s">
        <v>1924</v>
      </c>
      <c r="D304">
        <v>24.75</v>
      </c>
      <c r="E304">
        <v>0</v>
      </c>
      <c r="F304" t="s">
        <v>1921</v>
      </c>
      <c r="G304" t="s">
        <v>1921</v>
      </c>
      <c r="H304">
        <v>0</v>
      </c>
      <c r="I304">
        <v>503.992913</v>
      </c>
      <c r="J304" t="s">
        <v>1921</v>
      </c>
      <c r="K304">
        <v>-0</v>
      </c>
      <c r="L304">
        <v>1.370589741840326</v>
      </c>
      <c r="M304">
        <v>29.8</v>
      </c>
      <c r="N304">
        <v>13.26</v>
      </c>
    </row>
    <row r="305" spans="1:14">
      <c r="A305" s="1" t="s">
        <v>317</v>
      </c>
      <c r="B305">
        <f>HYPERLINK("https://www.suredividend.com/sure-analysis-research-database/","Civista Bancshares Inc")</f>
        <v>0</v>
      </c>
      <c r="C305" t="s">
        <v>1923</v>
      </c>
      <c r="D305">
        <v>22.23</v>
      </c>
      <c r="E305">
        <v>0.024957174057248</v>
      </c>
      <c r="F305">
        <v>0</v>
      </c>
      <c r="G305">
        <v>0.1486983549970351</v>
      </c>
      <c r="H305">
        <v>0.5547979792926271</v>
      </c>
      <c r="I305">
        <v>349.619213</v>
      </c>
      <c r="J305">
        <v>9.137743728600926</v>
      </c>
      <c r="K305">
        <v>0.2158747001138626</v>
      </c>
      <c r="L305">
        <v>0.495755128940112</v>
      </c>
      <c r="M305">
        <v>24.65</v>
      </c>
      <c r="N305">
        <v>19.72</v>
      </c>
    </row>
    <row r="306" spans="1:14">
      <c r="A306" s="1" t="s">
        <v>318</v>
      </c>
      <c r="B306">
        <f>HYPERLINK("https://www.suredividend.com/sure-analysis-research-database/","Civitas Resources Inc")</f>
        <v>0</v>
      </c>
      <c r="C306" t="s">
        <v>1921</v>
      </c>
      <c r="D306">
        <v>56.68</v>
      </c>
      <c r="E306">
        <v>0.047861238219404</v>
      </c>
      <c r="F306" t="s">
        <v>1921</v>
      </c>
      <c r="G306" t="s">
        <v>1921</v>
      </c>
      <c r="H306">
        <v>2.71277498227586</v>
      </c>
      <c r="I306">
        <v>4824.080087</v>
      </c>
      <c r="J306">
        <v>4.269429908984062</v>
      </c>
      <c r="K306">
        <v>0.194883260220967</v>
      </c>
      <c r="L306">
        <v>0.977433615394613</v>
      </c>
      <c r="M306">
        <v>81.08</v>
      </c>
      <c r="N306">
        <v>42.15</v>
      </c>
    </row>
    <row r="307" spans="1:14">
      <c r="A307" s="1" t="s">
        <v>319</v>
      </c>
      <c r="B307">
        <f>HYPERLINK("https://www.suredividend.com/sure-analysis-research-database/","Compx International, Inc.")</f>
        <v>0</v>
      </c>
      <c r="C307" t="s">
        <v>1924</v>
      </c>
      <c r="D307">
        <v>17.75</v>
      </c>
      <c r="E307">
        <v>0.053593699688001</v>
      </c>
      <c r="F307">
        <v>0</v>
      </c>
      <c r="G307">
        <v>0.3797296614612149</v>
      </c>
      <c r="H307">
        <v>0.9512881694620251</v>
      </c>
      <c r="I307">
        <v>218.452037</v>
      </c>
      <c r="J307">
        <v>11.35346586715867</v>
      </c>
      <c r="K307">
        <v>0.6098001086295033</v>
      </c>
      <c r="L307">
        <v>0.643270450355655</v>
      </c>
      <c r="M307">
        <v>26.39</v>
      </c>
      <c r="N307">
        <v>15.8</v>
      </c>
    </row>
    <row r="308" spans="1:14">
      <c r="A308" s="1" t="s">
        <v>320</v>
      </c>
      <c r="B308">
        <f>HYPERLINK("https://www.suredividend.com/sure-analysis-research-database/","Clarus Corp")</f>
        <v>0</v>
      </c>
      <c r="C308" t="s">
        <v>1927</v>
      </c>
      <c r="D308">
        <v>8.5</v>
      </c>
      <c r="E308">
        <v>0.011694670716313</v>
      </c>
      <c r="F308" t="s">
        <v>1921</v>
      </c>
      <c r="G308" t="s">
        <v>1921</v>
      </c>
      <c r="H308">
        <v>0.099404701088668</v>
      </c>
      <c r="I308">
        <v>317.684058</v>
      </c>
      <c r="J308">
        <v>12.28001768457673</v>
      </c>
      <c r="K308">
        <v>0.153425993345683</v>
      </c>
      <c r="L308">
        <v>1.561834275409111</v>
      </c>
      <c r="M308">
        <v>29.15</v>
      </c>
      <c r="N308">
        <v>6.86</v>
      </c>
    </row>
    <row r="309" spans="1:14">
      <c r="A309" s="1" t="s">
        <v>321</v>
      </c>
      <c r="B309">
        <f>HYPERLINK("https://www.suredividend.com/sure-analysis-research-database/","Columbia Financial, Inc")</f>
        <v>0</v>
      </c>
      <c r="C309" t="s">
        <v>1923</v>
      </c>
      <c r="D309">
        <v>21.74</v>
      </c>
      <c r="E309">
        <v>0</v>
      </c>
      <c r="F309" t="s">
        <v>1921</v>
      </c>
      <c r="G309" t="s">
        <v>1921</v>
      </c>
      <c r="H309">
        <v>0</v>
      </c>
      <c r="I309">
        <v>2382.170761</v>
      </c>
      <c r="J309">
        <v>27.18876416727538</v>
      </c>
      <c r="K309">
        <v>0</v>
      </c>
      <c r="L309">
        <v>0.318216876429683</v>
      </c>
      <c r="M309">
        <v>22.86</v>
      </c>
      <c r="N309">
        <v>18.77</v>
      </c>
    </row>
    <row r="310" spans="1:14">
      <c r="A310" s="1" t="s">
        <v>322</v>
      </c>
      <c r="B310">
        <f>HYPERLINK("https://www.suredividend.com/sure-analysis-research-database/","Chatham Lodging Trust")</f>
        <v>0</v>
      </c>
      <c r="C310" t="s">
        <v>1929</v>
      </c>
      <c r="D310">
        <v>12</v>
      </c>
      <c r="E310">
        <v>0.005833333358168</v>
      </c>
      <c r="F310">
        <v>-0.3636363636363635</v>
      </c>
      <c r="G310">
        <v>-0.08643159600651407</v>
      </c>
      <c r="H310">
        <v>0.070000000298023</v>
      </c>
      <c r="I310">
        <v>585.690168</v>
      </c>
      <c r="J310" t="s">
        <v>1921</v>
      </c>
      <c r="K310" t="s">
        <v>1921</v>
      </c>
      <c r="L310">
        <v>1.057848351081746</v>
      </c>
      <c r="M310">
        <v>15.03</v>
      </c>
      <c r="N310">
        <v>9.529999999999999</v>
      </c>
    </row>
    <row r="311" spans="1:14">
      <c r="A311" s="1" t="s">
        <v>323</v>
      </c>
      <c r="B311">
        <f>HYPERLINK("https://www.suredividend.com/sure-analysis-research-database/","Celldex Therapeutics Inc.")</f>
        <v>0</v>
      </c>
      <c r="C311" t="s">
        <v>1922</v>
      </c>
      <c r="D311">
        <v>44.85</v>
      </c>
      <c r="E311">
        <v>0</v>
      </c>
      <c r="F311" t="s">
        <v>1921</v>
      </c>
      <c r="G311" t="s">
        <v>1921</v>
      </c>
      <c r="H311">
        <v>0</v>
      </c>
      <c r="I311">
        <v>2112.42742</v>
      </c>
      <c r="J311" t="s">
        <v>1921</v>
      </c>
      <c r="K311">
        <v>-0</v>
      </c>
      <c r="L311">
        <v>1.528793699628854</v>
      </c>
      <c r="M311">
        <v>46.04</v>
      </c>
      <c r="N311">
        <v>19.85</v>
      </c>
    </row>
    <row r="312" spans="1:14">
      <c r="A312" s="1" t="s">
        <v>324</v>
      </c>
      <c r="B312">
        <f>HYPERLINK("https://www.suredividend.com/sure-analysis-research-database/","Clearfield Inc")</f>
        <v>0</v>
      </c>
      <c r="C312" t="s">
        <v>1920</v>
      </c>
      <c r="D312">
        <v>98.95</v>
      </c>
      <c r="E312">
        <v>0</v>
      </c>
      <c r="F312" t="s">
        <v>1921</v>
      </c>
      <c r="G312" t="s">
        <v>1921</v>
      </c>
      <c r="H312">
        <v>0</v>
      </c>
      <c r="I312">
        <v>1503.886825</v>
      </c>
      <c r="J312">
        <v>0</v>
      </c>
      <c r="K312" t="s">
        <v>1921</v>
      </c>
      <c r="L312">
        <v>1.748326685874219</v>
      </c>
      <c r="M312">
        <v>134.9</v>
      </c>
      <c r="N312">
        <v>44.15</v>
      </c>
    </row>
    <row r="313" spans="1:14">
      <c r="A313" s="1" t="s">
        <v>325</v>
      </c>
      <c r="B313">
        <f>HYPERLINK("https://www.suredividend.com/sure-analysis-research-database/","Clean Energy Fuels Corp")</f>
        <v>0</v>
      </c>
      <c r="C313" t="s">
        <v>1926</v>
      </c>
      <c r="D313">
        <v>5.38</v>
      </c>
      <c r="E313">
        <v>0</v>
      </c>
      <c r="F313" t="s">
        <v>1921</v>
      </c>
      <c r="G313" t="s">
        <v>1921</v>
      </c>
      <c r="H313">
        <v>0</v>
      </c>
      <c r="I313">
        <v>1196.663409</v>
      </c>
      <c r="J313" t="s">
        <v>1921</v>
      </c>
      <c r="K313">
        <v>-0</v>
      </c>
      <c r="L313">
        <v>1.724183360199641</v>
      </c>
      <c r="M313">
        <v>8.65</v>
      </c>
      <c r="N313">
        <v>4.02</v>
      </c>
    </row>
    <row r="314" spans="1:14">
      <c r="A314" s="1" t="s">
        <v>326</v>
      </c>
      <c r="B314">
        <f>HYPERLINK("https://www.suredividend.com/sure-analysis-research-database/","Clene Inc")</f>
        <v>0</v>
      </c>
      <c r="C314" t="s">
        <v>1921</v>
      </c>
      <c r="D314">
        <v>1.04</v>
      </c>
      <c r="E314">
        <v>0</v>
      </c>
      <c r="F314" t="s">
        <v>1921</v>
      </c>
      <c r="G314" t="s">
        <v>1921</v>
      </c>
      <c r="H314">
        <v>0</v>
      </c>
      <c r="I314">
        <v>76.77281000000001</v>
      </c>
      <c r="J314">
        <v>0</v>
      </c>
      <c r="K314" t="s">
        <v>1921</v>
      </c>
      <c r="L314">
        <v>0.9535850403391731</v>
      </c>
      <c r="M314">
        <v>5.13</v>
      </c>
      <c r="N314">
        <v>0.87</v>
      </c>
    </row>
    <row r="315" spans="1:14">
      <c r="A315" s="1" t="s">
        <v>327</v>
      </c>
      <c r="B315">
        <f>HYPERLINK("https://www.suredividend.com/sure-analysis-CLPR/","Clipper Realty Inc")</f>
        <v>0</v>
      </c>
      <c r="C315" t="s">
        <v>1929</v>
      </c>
      <c r="D315">
        <v>6.85</v>
      </c>
      <c r="E315">
        <v>0.05547445255474453</v>
      </c>
      <c r="F315">
        <v>0</v>
      </c>
      <c r="G315">
        <v>0</v>
      </c>
      <c r="H315">
        <v>0.373401265242565</v>
      </c>
      <c r="I315">
        <v>110.033112</v>
      </c>
      <c r="J315">
        <v>0</v>
      </c>
      <c r="K315" t="s">
        <v>1921</v>
      </c>
      <c r="L315">
        <v>0.798165446037976</v>
      </c>
      <c r="M315">
        <v>9.640000000000001</v>
      </c>
      <c r="N315">
        <v>6.08</v>
      </c>
    </row>
    <row r="316" spans="1:14">
      <c r="A316" s="1" t="s">
        <v>328</v>
      </c>
      <c r="B316">
        <f>HYPERLINK("https://www.suredividend.com/sure-analysis-research-database/","ClearPoint Neuro Inc")</f>
        <v>0</v>
      </c>
      <c r="C316" t="s">
        <v>1922</v>
      </c>
      <c r="D316">
        <v>8.42</v>
      </c>
      <c r="E316">
        <v>0</v>
      </c>
      <c r="F316" t="s">
        <v>1921</v>
      </c>
      <c r="G316" t="s">
        <v>1921</v>
      </c>
      <c r="H316">
        <v>0</v>
      </c>
      <c r="I316">
        <v>206.74937</v>
      </c>
      <c r="J316">
        <v>0</v>
      </c>
      <c r="K316" t="s">
        <v>1921</v>
      </c>
      <c r="L316">
        <v>1.661723606252091</v>
      </c>
      <c r="M316">
        <v>16.96</v>
      </c>
      <c r="N316">
        <v>7</v>
      </c>
    </row>
    <row r="317" spans="1:14">
      <c r="A317" s="1" t="s">
        <v>329</v>
      </c>
      <c r="B317">
        <f>HYPERLINK("https://www.suredividend.com/sure-analysis-research-database/","Cleanspark Inc")</f>
        <v>0</v>
      </c>
      <c r="C317" t="s">
        <v>1920</v>
      </c>
      <c r="D317">
        <v>2.21</v>
      </c>
      <c r="E317">
        <v>0</v>
      </c>
      <c r="F317" t="s">
        <v>1921</v>
      </c>
      <c r="G317" t="s">
        <v>1921</v>
      </c>
      <c r="H317">
        <v>0</v>
      </c>
      <c r="I317">
        <v>158.482152</v>
      </c>
      <c r="J317">
        <v>0</v>
      </c>
      <c r="K317" t="s">
        <v>1921</v>
      </c>
      <c r="L317">
        <v>2.694811813533081</v>
      </c>
      <c r="M317">
        <v>13.91</v>
      </c>
      <c r="N317">
        <v>1.74</v>
      </c>
    </row>
    <row r="318" spans="1:14">
      <c r="A318" s="1" t="s">
        <v>330</v>
      </c>
      <c r="B318">
        <f>HYPERLINK("https://www.suredividend.com/sure-analysis-research-database/","Clovis Oncology Inc")</f>
        <v>0</v>
      </c>
      <c r="C318" t="s">
        <v>1922</v>
      </c>
      <c r="D318">
        <v>0.08120000000000001</v>
      </c>
      <c r="E318">
        <v>0</v>
      </c>
      <c r="F318" t="s">
        <v>1921</v>
      </c>
      <c r="G318" t="s">
        <v>1921</v>
      </c>
      <c r="H318">
        <v>0</v>
      </c>
      <c r="I318">
        <v>0</v>
      </c>
      <c r="J318">
        <v>0</v>
      </c>
      <c r="K318" t="s">
        <v>1921</v>
      </c>
    </row>
    <row r="319" spans="1:14">
      <c r="A319" s="1" t="s">
        <v>331</v>
      </c>
      <c r="B319">
        <f>HYPERLINK("https://www.suredividend.com/sure-analysis-research-database/","Clearwater Paper Corp")</f>
        <v>0</v>
      </c>
      <c r="C319" t="s">
        <v>1925</v>
      </c>
      <c r="D319">
        <v>36.62</v>
      </c>
      <c r="E319">
        <v>0</v>
      </c>
      <c r="F319" t="s">
        <v>1921</v>
      </c>
      <c r="G319" t="s">
        <v>1921</v>
      </c>
      <c r="H319">
        <v>0</v>
      </c>
      <c r="I319">
        <v>613.819643</v>
      </c>
      <c r="J319">
        <v>9.997062585993485</v>
      </c>
      <c r="K319">
        <v>0</v>
      </c>
      <c r="L319">
        <v>0.5620932191483791</v>
      </c>
      <c r="M319">
        <v>46.48</v>
      </c>
      <c r="N319">
        <v>25.07</v>
      </c>
    </row>
    <row r="320" spans="1:14">
      <c r="A320" s="1" t="s">
        <v>332</v>
      </c>
      <c r="B320">
        <f>HYPERLINK("https://www.suredividend.com/sure-analysis-research-database/","Cambium Networks Corp")</f>
        <v>0</v>
      </c>
      <c r="C320" t="s">
        <v>1920</v>
      </c>
      <c r="D320">
        <v>21.99</v>
      </c>
      <c r="E320">
        <v>0</v>
      </c>
      <c r="F320" t="s">
        <v>1921</v>
      </c>
      <c r="G320" t="s">
        <v>1921</v>
      </c>
      <c r="H320">
        <v>0</v>
      </c>
      <c r="I320">
        <v>594.507808</v>
      </c>
      <c r="J320">
        <v>0</v>
      </c>
      <c r="K320" t="s">
        <v>1921</v>
      </c>
      <c r="L320">
        <v>1.464825922366545</v>
      </c>
      <c r="M320">
        <v>29.38</v>
      </c>
      <c r="N320">
        <v>12.4</v>
      </c>
    </row>
    <row r="321" spans="1:14">
      <c r="A321" s="1" t="s">
        <v>333</v>
      </c>
      <c r="B321">
        <f>HYPERLINK("https://www.suredividend.com/sure-analysis-research-database/","Commercial Metals Co.")</f>
        <v>0</v>
      </c>
      <c r="C321" t="s">
        <v>1925</v>
      </c>
      <c r="D321">
        <v>50.33</v>
      </c>
      <c r="E321">
        <v>0.011463513175504</v>
      </c>
      <c r="F321">
        <v>0.1428571428571428</v>
      </c>
      <c r="G321">
        <v>0.05922384104881218</v>
      </c>
      <c r="H321">
        <v>0.5769586181231301</v>
      </c>
      <c r="I321">
        <v>5906.60987</v>
      </c>
      <c r="J321">
        <v>4.852373499057721</v>
      </c>
      <c r="K321">
        <v>0.05798579076614373</v>
      </c>
      <c r="L321">
        <v>1.070979640447507</v>
      </c>
      <c r="M321">
        <v>52.27</v>
      </c>
      <c r="N321">
        <v>31.36</v>
      </c>
    </row>
    <row r="322" spans="1:14">
      <c r="A322" s="1" t="s">
        <v>334</v>
      </c>
      <c r="B322">
        <f>HYPERLINK("https://www.suredividend.com/sure-analysis-research-database/","Columbus Mckinnon Corp.")</f>
        <v>0</v>
      </c>
      <c r="C322" t="s">
        <v>1924</v>
      </c>
      <c r="D322">
        <v>34.37</v>
      </c>
      <c r="E322">
        <v>0.007829813948628001</v>
      </c>
      <c r="F322">
        <v>0.1666666666666667</v>
      </c>
      <c r="G322">
        <v>0.1184269147201447</v>
      </c>
      <c r="H322">
        <v>0.269110705414364</v>
      </c>
      <c r="I322">
        <v>984.005367</v>
      </c>
      <c r="J322">
        <v>22.24998002826456</v>
      </c>
      <c r="K322">
        <v>0.1758893499440287</v>
      </c>
      <c r="L322">
        <v>1.161600351545674</v>
      </c>
      <c r="M322">
        <v>49.23</v>
      </c>
      <c r="N322">
        <v>23.48</v>
      </c>
    </row>
    <row r="323" spans="1:14">
      <c r="A323" s="1" t="s">
        <v>335</v>
      </c>
      <c r="B323">
        <f>HYPERLINK("https://www.suredividend.com/sure-analysis-CMP/","Compass Minerals International Inc")</f>
        <v>0</v>
      </c>
      <c r="C323" t="s">
        <v>1925</v>
      </c>
      <c r="D323">
        <v>45.55</v>
      </c>
      <c r="E323">
        <v>0.01317233809001098</v>
      </c>
      <c r="F323">
        <v>0</v>
      </c>
      <c r="G323">
        <v>-0.2692787241890373</v>
      </c>
      <c r="H323">
        <v>0.5968352993051911</v>
      </c>
      <c r="I323">
        <v>1868.612773</v>
      </c>
      <c r="J323" t="s">
        <v>1921</v>
      </c>
      <c r="K323" t="s">
        <v>1921</v>
      </c>
      <c r="L323">
        <v>1.225252248330892</v>
      </c>
      <c r="M323">
        <v>66.95</v>
      </c>
      <c r="N323">
        <v>30.45</v>
      </c>
    </row>
    <row r="324" spans="1:14">
      <c r="A324" s="1" t="s">
        <v>336</v>
      </c>
      <c r="B324">
        <f>HYPERLINK("https://www.suredividend.com/sure-analysis-research-database/","Cimpress plc")</f>
        <v>0</v>
      </c>
      <c r="C324" t="s">
        <v>1931</v>
      </c>
      <c r="D324">
        <v>25.35</v>
      </c>
      <c r="E324">
        <v>0</v>
      </c>
      <c r="F324" t="s">
        <v>1921</v>
      </c>
      <c r="G324" t="s">
        <v>1921</v>
      </c>
      <c r="H324">
        <v>0</v>
      </c>
      <c r="I324">
        <v>664.995928</v>
      </c>
      <c r="J324" t="s">
        <v>1921</v>
      </c>
      <c r="K324">
        <v>-0</v>
      </c>
      <c r="L324">
        <v>1.583492809605099</v>
      </c>
      <c r="M324">
        <v>75.40000000000001</v>
      </c>
      <c r="N324">
        <v>18</v>
      </c>
    </row>
    <row r="325" spans="1:14">
      <c r="A325" s="1" t="s">
        <v>337</v>
      </c>
      <c r="B325">
        <f>HYPERLINK("https://www.suredividend.com/sure-analysis-research-database/","Costamare Inc")</f>
        <v>0</v>
      </c>
      <c r="C325" t="s">
        <v>1924</v>
      </c>
      <c r="D325">
        <v>9.550000000000001</v>
      </c>
      <c r="E325">
        <v>0.04742719758720301</v>
      </c>
      <c r="F325">
        <v>0</v>
      </c>
      <c r="G325">
        <v>0.02834672210021361</v>
      </c>
      <c r="H325">
        <v>0.45292973695779</v>
      </c>
      <c r="I325">
        <v>1161.033715</v>
      </c>
      <c r="J325">
        <v>2.366549086734257</v>
      </c>
      <c r="K325">
        <v>0.1138014414466809</v>
      </c>
      <c r="L325">
        <v>0.842256998606226</v>
      </c>
      <c r="M325">
        <v>17.5</v>
      </c>
      <c r="N325">
        <v>8.449999999999999</v>
      </c>
    </row>
    <row r="326" spans="1:14">
      <c r="A326" s="1" t="s">
        <v>338</v>
      </c>
      <c r="B326">
        <f>HYPERLINK("https://www.suredividend.com/sure-analysis-research-database/","Chimerix Inc")</f>
        <v>0</v>
      </c>
      <c r="C326" t="s">
        <v>1922</v>
      </c>
      <c r="D326">
        <v>1.89</v>
      </c>
      <c r="E326">
        <v>0</v>
      </c>
      <c r="F326" t="s">
        <v>1921</v>
      </c>
      <c r="G326" t="s">
        <v>1921</v>
      </c>
      <c r="H326">
        <v>0</v>
      </c>
      <c r="I326">
        <v>166.40529</v>
      </c>
      <c r="J326">
        <v>1.083163270150817</v>
      </c>
      <c r="K326">
        <v>0</v>
      </c>
      <c r="L326">
        <v>1.641845741746094</v>
      </c>
      <c r="M326">
        <v>6.52</v>
      </c>
      <c r="N326">
        <v>1.27</v>
      </c>
    </row>
    <row r="327" spans="1:14">
      <c r="A327" s="1" t="s">
        <v>339</v>
      </c>
      <c r="B327">
        <f>HYPERLINK("https://www.suredividend.com/sure-analysis-research-database/","Comtech Telecommunications Corp.")</f>
        <v>0</v>
      </c>
      <c r="C327" t="s">
        <v>1920</v>
      </c>
      <c r="D327">
        <v>12.43</v>
      </c>
      <c r="E327">
        <v>0.031718275249279</v>
      </c>
      <c r="F327">
        <v>0</v>
      </c>
      <c r="G327">
        <v>0</v>
      </c>
      <c r="H327">
        <v>0.394258161348541</v>
      </c>
      <c r="I327">
        <v>345.247091</v>
      </c>
      <c r="J327" t="s">
        <v>1921</v>
      </c>
      <c r="K327" t="s">
        <v>1921</v>
      </c>
      <c r="L327">
        <v>1.173976934634699</v>
      </c>
      <c r="M327">
        <v>23.03</v>
      </c>
      <c r="N327">
        <v>8.25</v>
      </c>
    </row>
    <row r="328" spans="1:14">
      <c r="A328" s="1" t="s">
        <v>340</v>
      </c>
      <c r="B328">
        <f>HYPERLINK("https://www.suredividend.com/sure-analysis-research-database/","Conduent Inc")</f>
        <v>0</v>
      </c>
      <c r="C328" t="s">
        <v>1920</v>
      </c>
      <c r="D328">
        <v>4.48</v>
      </c>
      <c r="E328">
        <v>0</v>
      </c>
      <c r="F328" t="s">
        <v>1921</v>
      </c>
      <c r="G328" t="s">
        <v>1921</v>
      </c>
      <c r="H328">
        <v>0</v>
      </c>
      <c r="I328">
        <v>967.322568</v>
      </c>
      <c r="J328">
        <v>9.577451165148515</v>
      </c>
      <c r="K328">
        <v>0</v>
      </c>
      <c r="L328">
        <v>0.9816721825087821</v>
      </c>
      <c r="M328">
        <v>6.13</v>
      </c>
      <c r="N328">
        <v>3.29</v>
      </c>
    </row>
    <row r="329" spans="1:14">
      <c r="A329" s="1" t="s">
        <v>341</v>
      </c>
      <c r="B329">
        <f>HYPERLINK("https://www.suredividend.com/sure-analysis-research-database/","Cinemark Holdings Inc")</f>
        <v>0</v>
      </c>
      <c r="C329" t="s">
        <v>1931</v>
      </c>
      <c r="D329">
        <v>8.789999999999999</v>
      </c>
      <c r="E329">
        <v>0</v>
      </c>
      <c r="F329" t="s">
        <v>1921</v>
      </c>
      <c r="G329" t="s">
        <v>1921</v>
      </c>
      <c r="H329">
        <v>0</v>
      </c>
      <c r="I329">
        <v>1058.535513</v>
      </c>
      <c r="J329" t="s">
        <v>1921</v>
      </c>
      <c r="K329">
        <v>-0</v>
      </c>
      <c r="L329">
        <v>1.255809547695601</v>
      </c>
      <c r="M329">
        <v>19.76</v>
      </c>
      <c r="N329">
        <v>8.279999999999999</v>
      </c>
    </row>
    <row r="330" spans="1:14">
      <c r="A330" s="1" t="s">
        <v>342</v>
      </c>
      <c r="B330">
        <f>HYPERLINK("https://www.suredividend.com/sure-analysis-research-database/","Conmed Corp.")</f>
        <v>0</v>
      </c>
      <c r="C330" t="s">
        <v>1922</v>
      </c>
      <c r="D330">
        <v>95.18000000000001</v>
      </c>
      <c r="E330">
        <v>0.008378368849377</v>
      </c>
      <c r="F330">
        <v>0</v>
      </c>
      <c r="G330">
        <v>0</v>
      </c>
      <c r="H330">
        <v>0.797453147083783</v>
      </c>
      <c r="I330">
        <v>2901.315974</v>
      </c>
      <c r="J330" t="s">
        <v>1921</v>
      </c>
      <c r="K330" t="s">
        <v>1921</v>
      </c>
      <c r="L330">
        <v>1.233244652128341</v>
      </c>
      <c r="M330">
        <v>154.53</v>
      </c>
      <c r="N330">
        <v>70.94</v>
      </c>
    </row>
    <row r="331" spans="1:14">
      <c r="A331" s="1" t="s">
        <v>343</v>
      </c>
      <c r="B331">
        <f>HYPERLINK("https://www.suredividend.com/sure-analysis-research-database/","Cannae Holdings Inc")</f>
        <v>0</v>
      </c>
      <c r="C331" t="s">
        <v>1927</v>
      </c>
      <c r="D331">
        <v>22.11</v>
      </c>
      <c r="E331">
        <v>0</v>
      </c>
      <c r="F331" t="s">
        <v>1921</v>
      </c>
      <c r="G331" t="s">
        <v>1921</v>
      </c>
      <c r="H331">
        <v>0</v>
      </c>
      <c r="I331">
        <v>1725.028612</v>
      </c>
      <c r="J331">
        <v>0</v>
      </c>
      <c r="K331" t="s">
        <v>1921</v>
      </c>
      <c r="L331">
        <v>1.39593685628187</v>
      </c>
      <c r="M331">
        <v>34.61</v>
      </c>
      <c r="N331">
        <v>17.11</v>
      </c>
    </row>
    <row r="332" spans="1:14">
      <c r="A332" s="1" t="s">
        <v>344</v>
      </c>
      <c r="B332">
        <f>HYPERLINK("https://www.suredividend.com/sure-analysis-research-database/","CNO Financial Group Inc")</f>
        <v>0</v>
      </c>
      <c r="C332" t="s">
        <v>1923</v>
      </c>
      <c r="D332">
        <v>22.94</v>
      </c>
      <c r="E332">
        <v>0.023736072478546</v>
      </c>
      <c r="F332">
        <v>0.07692307692307709</v>
      </c>
      <c r="G332">
        <v>0.09238846414037316</v>
      </c>
      <c r="H332">
        <v>0.544505502657854</v>
      </c>
      <c r="I332">
        <v>2624.412161</v>
      </c>
      <c r="J332">
        <v>5.593376301790282</v>
      </c>
      <c r="K332">
        <v>0.1389044649637383</v>
      </c>
      <c r="L332">
        <v>0.8983699298451701</v>
      </c>
      <c r="M332">
        <v>26.04</v>
      </c>
      <c r="N332">
        <v>16.33</v>
      </c>
    </row>
    <row r="333" spans="1:14">
      <c r="A333" s="1" t="s">
        <v>345</v>
      </c>
      <c r="B333">
        <f>HYPERLINK("https://www.suredividend.com/sure-analysis-research-database/","ConnectOne Bancorp Inc.")</f>
        <v>0</v>
      </c>
      <c r="C333" t="s">
        <v>1923</v>
      </c>
      <c r="D333">
        <v>25.31</v>
      </c>
      <c r="E333">
        <v>0.023159265890686</v>
      </c>
      <c r="F333">
        <v>0.1923076923076923</v>
      </c>
      <c r="G333">
        <v>0.1562562331664044</v>
      </c>
      <c r="H333">
        <v>0.5861610196932711</v>
      </c>
      <c r="I333">
        <v>993.243443</v>
      </c>
      <c r="J333">
        <v>8.328317246459445</v>
      </c>
      <c r="K333">
        <v>0.1940930528785666</v>
      </c>
      <c r="L333">
        <v>0.736340066094991</v>
      </c>
      <c r="M333">
        <v>35.98</v>
      </c>
      <c r="N333">
        <v>22.26</v>
      </c>
    </row>
    <row r="334" spans="1:14">
      <c r="A334" s="1" t="s">
        <v>346</v>
      </c>
      <c r="B334">
        <f>HYPERLINK("https://www.suredividend.com/sure-analysis-research-database/","Cornerstone Building Brands Inc")</f>
        <v>0</v>
      </c>
      <c r="C334" t="s">
        <v>1924</v>
      </c>
      <c r="D334">
        <v>24.66</v>
      </c>
      <c r="E334">
        <v>0</v>
      </c>
      <c r="F334" t="s">
        <v>1921</v>
      </c>
      <c r="G334" t="s">
        <v>1921</v>
      </c>
      <c r="H334">
        <v>0</v>
      </c>
      <c r="I334">
        <v>3140.549665</v>
      </c>
      <c r="J334">
        <v>4.125652290268975</v>
      </c>
      <c r="K334">
        <v>0</v>
      </c>
      <c r="L334">
        <v>0.379026239325039</v>
      </c>
      <c r="M334">
        <v>24.66</v>
      </c>
      <c r="N334">
        <v>13.51</v>
      </c>
    </row>
    <row r="335" spans="1:14">
      <c r="A335" s="1" t="s">
        <v>347</v>
      </c>
      <c r="B335">
        <f>HYPERLINK("https://www.suredividend.com/sure-analysis-research-database/","Cohen &amp; Steers Inc.")</f>
        <v>0</v>
      </c>
      <c r="C335" t="s">
        <v>1923</v>
      </c>
      <c r="D335">
        <v>69.38</v>
      </c>
      <c r="E335">
        <v>0.031046691539419</v>
      </c>
      <c r="F335">
        <v>0</v>
      </c>
      <c r="G335">
        <v>0.08845890735664219</v>
      </c>
      <c r="H335">
        <v>2.154019459004892</v>
      </c>
      <c r="I335">
        <v>3379.245869</v>
      </c>
      <c r="J335">
        <v>16.64439958034932</v>
      </c>
      <c r="K335">
        <v>0.5228202570400222</v>
      </c>
      <c r="L335">
        <v>1.041001081177582</v>
      </c>
      <c r="M335">
        <v>88.33</v>
      </c>
      <c r="N335">
        <v>51.41</v>
      </c>
    </row>
    <row r="336" spans="1:14">
      <c r="A336" s="1" t="s">
        <v>348</v>
      </c>
      <c r="B336">
        <f>HYPERLINK("https://www.suredividend.com/sure-analysis-research-database/","Consolidated Communications Holdings Inc")</f>
        <v>0</v>
      </c>
      <c r="C336" t="s">
        <v>1931</v>
      </c>
      <c r="D336">
        <v>3.94</v>
      </c>
      <c r="E336">
        <v>0</v>
      </c>
      <c r="F336" t="s">
        <v>1921</v>
      </c>
      <c r="G336" t="s">
        <v>1921</v>
      </c>
      <c r="H336">
        <v>0</v>
      </c>
      <c r="I336">
        <v>454.658932</v>
      </c>
      <c r="J336">
        <v>3.054682423542058</v>
      </c>
      <c r="K336">
        <v>0</v>
      </c>
      <c r="L336">
        <v>1.209503820862066</v>
      </c>
      <c r="M336">
        <v>8.49</v>
      </c>
      <c r="N336">
        <v>3.5</v>
      </c>
    </row>
    <row r="337" spans="1:14">
      <c r="A337" s="1" t="s">
        <v>349</v>
      </c>
      <c r="B337">
        <f>HYPERLINK("https://www.suredividend.com/sure-analysis-research-database/","Century Casinos Inc.")</f>
        <v>0</v>
      </c>
      <c r="C337" t="s">
        <v>1927</v>
      </c>
      <c r="D337">
        <v>7.36</v>
      </c>
      <c r="E337">
        <v>0</v>
      </c>
      <c r="F337" t="s">
        <v>1921</v>
      </c>
      <c r="G337" t="s">
        <v>1921</v>
      </c>
      <c r="H337">
        <v>0</v>
      </c>
      <c r="I337">
        <v>219.799386</v>
      </c>
      <c r="J337">
        <v>13.75637663787708</v>
      </c>
      <c r="K337">
        <v>0</v>
      </c>
      <c r="L337">
        <v>1.390306280632317</v>
      </c>
      <c r="M337">
        <v>13.55</v>
      </c>
      <c r="N337">
        <v>6.1</v>
      </c>
    </row>
    <row r="338" spans="1:14">
      <c r="A338" s="1" t="s">
        <v>350</v>
      </c>
      <c r="B338">
        <f>HYPERLINK("https://www.suredividend.com/sure-analysis-research-database/","Convey Health Solutions Holdings Inc")</f>
        <v>0</v>
      </c>
      <c r="C338" t="s">
        <v>1921</v>
      </c>
      <c r="D338">
        <v>10.51</v>
      </c>
      <c r="E338">
        <v>0</v>
      </c>
      <c r="F338" t="s">
        <v>1921</v>
      </c>
      <c r="G338" t="s">
        <v>1921</v>
      </c>
      <c r="H338">
        <v>0</v>
      </c>
      <c r="I338">
        <v>769.2707370000001</v>
      </c>
      <c r="J338">
        <v>0</v>
      </c>
      <c r="K338" t="s">
        <v>1921</v>
      </c>
      <c r="L338">
        <v>1.546297057876688</v>
      </c>
      <c r="M338">
        <v>10.73</v>
      </c>
      <c r="N338">
        <v>3.75</v>
      </c>
    </row>
    <row r="339" spans="1:14">
      <c r="A339" s="1" t="s">
        <v>351</v>
      </c>
      <c r="B339">
        <f>HYPERLINK("https://www.suredividend.com/sure-analysis-research-database/","CNX Resources Corp")</f>
        <v>0</v>
      </c>
      <c r="C339" t="s">
        <v>1926</v>
      </c>
      <c r="D339">
        <v>16.21</v>
      </c>
      <c r="E339">
        <v>0</v>
      </c>
      <c r="F339" t="s">
        <v>1921</v>
      </c>
      <c r="G339" t="s">
        <v>1921</v>
      </c>
      <c r="H339">
        <v>0</v>
      </c>
      <c r="I339">
        <v>2925.532105</v>
      </c>
      <c r="J339" t="s">
        <v>1921</v>
      </c>
      <c r="K339">
        <v>-0</v>
      </c>
      <c r="L339">
        <v>0.7743535926647611</v>
      </c>
      <c r="M339">
        <v>24.21</v>
      </c>
      <c r="N339">
        <v>14.11</v>
      </c>
    </row>
    <row r="340" spans="1:14">
      <c r="A340" s="1" t="s">
        <v>352</v>
      </c>
      <c r="B340">
        <f>HYPERLINK("https://www.suredividend.com/sure-analysis-research-database/","PC Connection, Inc.")</f>
        <v>0</v>
      </c>
      <c r="C340" t="s">
        <v>1920</v>
      </c>
      <c r="D340">
        <v>46.81</v>
      </c>
      <c r="E340">
        <v>0</v>
      </c>
      <c r="F340" t="s">
        <v>1921</v>
      </c>
      <c r="G340" t="s">
        <v>1921</v>
      </c>
      <c r="H340">
        <v>0</v>
      </c>
      <c r="I340">
        <v>1230.557944</v>
      </c>
      <c r="J340">
        <v>13.26303816902168</v>
      </c>
      <c r="K340">
        <v>0</v>
      </c>
      <c r="L340">
        <v>0.677707424499004</v>
      </c>
      <c r="M340">
        <v>56.33</v>
      </c>
      <c r="N340">
        <v>39.83</v>
      </c>
    </row>
    <row r="341" spans="1:14">
      <c r="A341" s="1" t="s">
        <v>353</v>
      </c>
      <c r="B341">
        <f>HYPERLINK("https://www.suredividend.com/sure-analysis-research-database/","Vita Coco Company Inc (The)")</f>
        <v>0</v>
      </c>
      <c r="C341" t="s">
        <v>1921</v>
      </c>
      <c r="D341">
        <v>13.64</v>
      </c>
      <c r="E341">
        <v>0</v>
      </c>
      <c r="F341" t="s">
        <v>1921</v>
      </c>
      <c r="G341" t="s">
        <v>1921</v>
      </c>
      <c r="H341">
        <v>0</v>
      </c>
      <c r="I341">
        <v>762.8073429999999</v>
      </c>
      <c r="J341">
        <v>0</v>
      </c>
      <c r="K341" t="s">
        <v>1921</v>
      </c>
      <c r="L341">
        <v>1.511568637566604</v>
      </c>
      <c r="M341">
        <v>16.57</v>
      </c>
      <c r="N341">
        <v>7.39</v>
      </c>
    </row>
    <row r="342" spans="1:14">
      <c r="A342" s="1" t="s">
        <v>354</v>
      </c>
      <c r="B342">
        <f>HYPERLINK("https://www.suredividend.com/sure-analysis-research-database/","Cogent Biosciences Inc")</f>
        <v>0</v>
      </c>
      <c r="C342" t="s">
        <v>1921</v>
      </c>
      <c r="D342">
        <v>12.19</v>
      </c>
      <c r="E342">
        <v>0</v>
      </c>
      <c r="F342" t="s">
        <v>1921</v>
      </c>
      <c r="G342" t="s">
        <v>1921</v>
      </c>
      <c r="H342">
        <v>0</v>
      </c>
      <c r="I342">
        <v>801.593263</v>
      </c>
      <c r="J342">
        <v>0</v>
      </c>
      <c r="K342" t="s">
        <v>1921</v>
      </c>
      <c r="L342">
        <v>0.6501412155681491</v>
      </c>
      <c r="M342">
        <v>18.07</v>
      </c>
      <c r="N342">
        <v>3.79</v>
      </c>
    </row>
    <row r="343" spans="1:14">
      <c r="A343" s="1" t="s">
        <v>355</v>
      </c>
      <c r="B343">
        <f>HYPERLINK("https://www.suredividend.com/sure-analysis-research-database/","Cohu, Inc.")</f>
        <v>0</v>
      </c>
      <c r="C343" t="s">
        <v>1920</v>
      </c>
      <c r="D343">
        <v>34.36</v>
      </c>
      <c r="E343">
        <v>0</v>
      </c>
      <c r="F343" t="s">
        <v>1921</v>
      </c>
      <c r="G343" t="s">
        <v>1921</v>
      </c>
      <c r="H343">
        <v>0</v>
      </c>
      <c r="I343">
        <v>1636.565666</v>
      </c>
      <c r="J343">
        <v>17.02840206975486</v>
      </c>
      <c r="K343">
        <v>0</v>
      </c>
      <c r="L343">
        <v>1.604068301230375</v>
      </c>
      <c r="M343">
        <v>37.75</v>
      </c>
      <c r="N343">
        <v>24.06</v>
      </c>
    </row>
    <row r="344" spans="1:14">
      <c r="A344" s="1" t="s">
        <v>356</v>
      </c>
      <c r="B344">
        <f>HYPERLINK("https://www.suredividend.com/sure-analysis-research-database/","Coca-Cola Consolidated Inc")</f>
        <v>0</v>
      </c>
      <c r="C344" t="s">
        <v>1928</v>
      </c>
      <c r="D344">
        <v>490.51</v>
      </c>
      <c r="E344">
        <v>0.002037109487522</v>
      </c>
      <c r="F344">
        <v>0</v>
      </c>
      <c r="G344">
        <v>0</v>
      </c>
      <c r="H344">
        <v>0.9992225747246131</v>
      </c>
      <c r="I344">
        <v>4105.074756</v>
      </c>
      <c r="J344">
        <v>12.40878651964815</v>
      </c>
      <c r="K344">
        <v>0.02837088514266363</v>
      </c>
      <c r="L344">
        <v>0.980878549061826</v>
      </c>
      <c r="M344">
        <v>655.4400000000001</v>
      </c>
      <c r="N344">
        <v>404.81</v>
      </c>
    </row>
    <row r="345" spans="1:14">
      <c r="A345" s="1" t="s">
        <v>357</v>
      </c>
      <c r="B345">
        <f>HYPERLINK("https://www.suredividend.com/sure-analysis-research-database/","Columbia Banking System, Inc.")</f>
        <v>0</v>
      </c>
      <c r="C345" t="s">
        <v>1923</v>
      </c>
      <c r="D345">
        <v>29.39</v>
      </c>
      <c r="E345">
        <v>0.040224044386508</v>
      </c>
      <c r="F345">
        <v>0</v>
      </c>
      <c r="G345">
        <v>0.02903366107118788</v>
      </c>
      <c r="H345">
        <v>1.182184664519491</v>
      </c>
      <c r="I345">
        <v>2311.409408</v>
      </c>
      <c r="J345">
        <v>10.31312898729715</v>
      </c>
      <c r="K345">
        <v>0.4119110329336205</v>
      </c>
      <c r="L345">
        <v>0.8287611761544731</v>
      </c>
      <c r="M345">
        <v>36.47</v>
      </c>
      <c r="N345">
        <v>26.44</v>
      </c>
    </row>
    <row r="346" spans="1:14">
      <c r="A346" s="1" t="s">
        <v>358</v>
      </c>
      <c r="B346">
        <f>HYPERLINK("https://www.suredividend.com/sure-analysis-research-database/","Collegium Pharmaceutical Inc")</f>
        <v>0</v>
      </c>
      <c r="C346" t="s">
        <v>1922</v>
      </c>
      <c r="D346">
        <v>27.91</v>
      </c>
      <c r="E346">
        <v>0</v>
      </c>
      <c r="F346" t="s">
        <v>1921</v>
      </c>
      <c r="G346" t="s">
        <v>1921</v>
      </c>
      <c r="H346">
        <v>0</v>
      </c>
      <c r="I346">
        <v>936.992371</v>
      </c>
      <c r="J346" t="s">
        <v>1921</v>
      </c>
      <c r="K346">
        <v>-0</v>
      </c>
      <c r="L346">
        <v>0.623263410337883</v>
      </c>
      <c r="M346">
        <v>29.78</v>
      </c>
      <c r="N346">
        <v>14.04</v>
      </c>
    </row>
    <row r="347" spans="1:14">
      <c r="A347" s="1" t="s">
        <v>359</v>
      </c>
      <c r="B347">
        <f>HYPERLINK("https://www.suredividend.com/sure-analysis-research-database/","Conns Inc")</f>
        <v>0</v>
      </c>
      <c r="C347" t="s">
        <v>1927</v>
      </c>
      <c r="D347">
        <v>8.720000000000001</v>
      </c>
      <c r="E347">
        <v>0</v>
      </c>
      <c r="F347" t="s">
        <v>1921</v>
      </c>
      <c r="G347" t="s">
        <v>1921</v>
      </c>
      <c r="H347">
        <v>0</v>
      </c>
      <c r="I347">
        <v>208.801228</v>
      </c>
      <c r="J347" t="s">
        <v>1921</v>
      </c>
      <c r="K347">
        <v>-0</v>
      </c>
      <c r="L347">
        <v>1.726811963373968</v>
      </c>
      <c r="M347">
        <v>25.79</v>
      </c>
      <c r="N347">
        <v>5.69</v>
      </c>
    </row>
    <row r="348" spans="1:14">
      <c r="A348" s="1" t="s">
        <v>360</v>
      </c>
      <c r="B348">
        <f>HYPERLINK("https://www.suredividend.com/sure-analysis-research-database/","Traeger Inc")</f>
        <v>0</v>
      </c>
      <c r="C348" t="s">
        <v>1921</v>
      </c>
      <c r="D348">
        <v>2.76</v>
      </c>
      <c r="E348">
        <v>0</v>
      </c>
      <c r="F348" t="s">
        <v>1921</v>
      </c>
      <c r="G348" t="s">
        <v>1921</v>
      </c>
      <c r="H348">
        <v>0</v>
      </c>
      <c r="I348">
        <v>326.333819</v>
      </c>
      <c r="J348">
        <v>0</v>
      </c>
      <c r="K348" t="s">
        <v>1921</v>
      </c>
      <c r="L348">
        <v>1.698437367285435</v>
      </c>
      <c r="M348">
        <v>11.66</v>
      </c>
      <c r="N348">
        <v>2.48</v>
      </c>
    </row>
    <row r="349" spans="1:14">
      <c r="A349" s="1" t="s">
        <v>361</v>
      </c>
      <c r="B349">
        <f>HYPERLINK("https://www.suredividend.com/sure-analysis-research-database/","Mr. Cooper Group Inc")</f>
        <v>0</v>
      </c>
      <c r="C349" t="s">
        <v>1923</v>
      </c>
      <c r="D349">
        <v>41.94</v>
      </c>
      <c r="E349">
        <v>0</v>
      </c>
      <c r="F349" t="s">
        <v>1921</v>
      </c>
      <c r="G349" t="s">
        <v>1921</v>
      </c>
      <c r="H349">
        <v>0</v>
      </c>
      <c r="I349">
        <v>2959.484692</v>
      </c>
      <c r="J349">
        <v>0</v>
      </c>
      <c r="K349" t="s">
        <v>1921</v>
      </c>
      <c r="L349">
        <v>0.861516518014758</v>
      </c>
      <c r="M349">
        <v>52.34</v>
      </c>
      <c r="N349">
        <v>35.81</v>
      </c>
    </row>
    <row r="350" spans="1:14">
      <c r="A350" s="1" t="s">
        <v>362</v>
      </c>
      <c r="B350">
        <f>HYPERLINK("https://www.suredividend.com/sure-analysis-research-database/","Corcept Therapeutics Inc")</f>
        <v>0</v>
      </c>
      <c r="C350" t="s">
        <v>1922</v>
      </c>
      <c r="D350">
        <v>20.52</v>
      </c>
      <c r="E350">
        <v>0</v>
      </c>
      <c r="F350" t="s">
        <v>1921</v>
      </c>
      <c r="G350" t="s">
        <v>1921</v>
      </c>
      <c r="H350">
        <v>0</v>
      </c>
      <c r="I350">
        <v>2208.975004</v>
      </c>
      <c r="J350">
        <v>18.90112949499444</v>
      </c>
      <c r="K350">
        <v>0</v>
      </c>
      <c r="L350">
        <v>0.792283414760193</v>
      </c>
      <c r="M350">
        <v>30.14</v>
      </c>
      <c r="N350">
        <v>16.47</v>
      </c>
    </row>
    <row r="351" spans="1:14">
      <c r="A351" s="1" t="s">
        <v>363</v>
      </c>
      <c r="B351">
        <f>HYPERLINK("https://www.suredividend.com/sure-analysis-research-database/","Coursera Inc")</f>
        <v>0</v>
      </c>
      <c r="C351" t="s">
        <v>1921</v>
      </c>
      <c r="D351">
        <v>13.04</v>
      </c>
      <c r="E351">
        <v>0</v>
      </c>
      <c r="F351" t="s">
        <v>1921</v>
      </c>
      <c r="G351" t="s">
        <v>1921</v>
      </c>
      <c r="H351">
        <v>0</v>
      </c>
      <c r="I351">
        <v>1911.408012</v>
      </c>
      <c r="J351">
        <v>0</v>
      </c>
      <c r="K351" t="s">
        <v>1921</v>
      </c>
      <c r="L351">
        <v>1.489845724415112</v>
      </c>
      <c r="M351">
        <v>24.67</v>
      </c>
      <c r="N351">
        <v>9.81</v>
      </c>
    </row>
    <row r="352" spans="1:14">
      <c r="A352" s="1" t="s">
        <v>364</v>
      </c>
      <c r="B352">
        <f>HYPERLINK("https://www.suredividend.com/sure-analysis-research-database/","Cowen Inc")</f>
        <v>0</v>
      </c>
      <c r="C352" t="s">
        <v>1923</v>
      </c>
      <c r="D352">
        <v>38.67</v>
      </c>
      <c r="E352">
        <v>0.012364639882314</v>
      </c>
      <c r="F352" t="s">
        <v>1921</v>
      </c>
      <c r="G352" t="s">
        <v>1921</v>
      </c>
      <c r="H352">
        <v>0.478140624249093</v>
      </c>
      <c r="I352">
        <v>1083.312942</v>
      </c>
      <c r="J352">
        <v>8.90011372365859</v>
      </c>
      <c r="K352">
        <v>0.1222866046672872</v>
      </c>
      <c r="L352">
        <v>0.695567614297774</v>
      </c>
      <c r="M352">
        <v>38.76</v>
      </c>
      <c r="N352">
        <v>21.23</v>
      </c>
    </row>
    <row r="353" spans="1:14">
      <c r="A353" s="1" t="s">
        <v>365</v>
      </c>
      <c r="B353">
        <f>HYPERLINK("https://www.suredividend.com/sure-analysis-research-database/","Callon Petroleum Co.")</f>
        <v>0</v>
      </c>
      <c r="C353" t="s">
        <v>1926</v>
      </c>
      <c r="D353">
        <v>35.94</v>
      </c>
      <c r="E353">
        <v>0</v>
      </c>
      <c r="F353" t="s">
        <v>1921</v>
      </c>
      <c r="G353" t="s">
        <v>1921</v>
      </c>
      <c r="H353">
        <v>0</v>
      </c>
      <c r="I353">
        <v>2214.210245</v>
      </c>
      <c r="J353">
        <v>1.81091865931136</v>
      </c>
      <c r="K353">
        <v>0</v>
      </c>
      <c r="L353">
        <v>1.118324653439551</v>
      </c>
      <c r="M353">
        <v>66.48</v>
      </c>
      <c r="N353">
        <v>31.23</v>
      </c>
    </row>
    <row r="354" spans="1:14">
      <c r="A354" s="1" t="s">
        <v>366</v>
      </c>
      <c r="B354">
        <f>HYPERLINK("https://www.suredividend.com/sure-analysis-research-database/","Central Pacific Financial Corp.")</f>
        <v>0</v>
      </c>
      <c r="C354" t="s">
        <v>1923</v>
      </c>
      <c r="D354">
        <v>20.74</v>
      </c>
      <c r="E354">
        <v>0.049256980603376</v>
      </c>
      <c r="F354">
        <v>0.04000000000000004</v>
      </c>
      <c r="G354">
        <v>0.06474093044470108</v>
      </c>
      <c r="H354">
        <v>1.021589777714038</v>
      </c>
      <c r="I354">
        <v>564.7062100000001</v>
      </c>
      <c r="J354">
        <v>7.423117102558034</v>
      </c>
      <c r="K354">
        <v>0.3728429845671671</v>
      </c>
      <c r="L354">
        <v>0.7418688918922021</v>
      </c>
      <c r="M354">
        <v>29.63</v>
      </c>
      <c r="N354">
        <v>18.59</v>
      </c>
    </row>
    <row r="355" spans="1:14">
      <c r="A355" s="1" t="s">
        <v>367</v>
      </c>
      <c r="B355">
        <f>HYPERLINK("https://www.suredividend.com/sure-analysis-CPK/","Chesapeake Utilities Corp")</f>
        <v>0</v>
      </c>
      <c r="C355" t="s">
        <v>1930</v>
      </c>
      <c r="D355">
        <v>121.88</v>
      </c>
      <c r="E355">
        <v>0.01755825402034789</v>
      </c>
      <c r="F355">
        <v>0.1145833333333335</v>
      </c>
      <c r="G355">
        <v>0.1048265042492955</v>
      </c>
      <c r="H355">
        <v>2.07176049228358</v>
      </c>
      <c r="I355">
        <v>2162.277224</v>
      </c>
      <c r="J355">
        <v>25.03852826512888</v>
      </c>
      <c r="K355">
        <v>0.4262881671365391</v>
      </c>
      <c r="L355">
        <v>0.442712485459983</v>
      </c>
      <c r="M355">
        <v>140.55</v>
      </c>
      <c r="N355">
        <v>105.32</v>
      </c>
    </row>
    <row r="356" spans="1:14">
      <c r="A356" s="1" t="s">
        <v>368</v>
      </c>
      <c r="B356">
        <f>HYPERLINK("https://www.suredividend.com/sure-analysis-research-database/","Catalyst Pharmaceuticals Inc")</f>
        <v>0</v>
      </c>
      <c r="C356" t="s">
        <v>1922</v>
      </c>
      <c r="D356">
        <v>19.02</v>
      </c>
      <c r="E356">
        <v>0</v>
      </c>
      <c r="F356" t="s">
        <v>1921</v>
      </c>
      <c r="G356" t="s">
        <v>1921</v>
      </c>
      <c r="H356">
        <v>0</v>
      </c>
      <c r="I356">
        <v>1979.437077</v>
      </c>
      <c r="J356">
        <v>0</v>
      </c>
      <c r="K356" t="s">
        <v>1921</v>
      </c>
      <c r="L356">
        <v>1.151585884263051</v>
      </c>
      <c r="M356">
        <v>20.51</v>
      </c>
      <c r="N356">
        <v>5.24</v>
      </c>
    </row>
    <row r="357" spans="1:14">
      <c r="A357" s="1" t="s">
        <v>369</v>
      </c>
      <c r="B357">
        <f>HYPERLINK("https://www.suredividend.com/sure-analysis-research-database/","Cooper-Standard Holdings Inc")</f>
        <v>0</v>
      </c>
      <c r="C357" t="s">
        <v>1927</v>
      </c>
      <c r="D357">
        <v>11.72</v>
      </c>
      <c r="E357">
        <v>0</v>
      </c>
      <c r="F357" t="s">
        <v>1921</v>
      </c>
      <c r="G357" t="s">
        <v>1921</v>
      </c>
      <c r="H357">
        <v>0</v>
      </c>
      <c r="I357">
        <v>200.5061</v>
      </c>
      <c r="J357">
        <v>0</v>
      </c>
      <c r="K357" t="s">
        <v>1921</v>
      </c>
      <c r="L357">
        <v>2.063082616722297</v>
      </c>
      <c r="M357">
        <v>27.35</v>
      </c>
      <c r="N357">
        <v>3.53</v>
      </c>
    </row>
    <row r="358" spans="1:14">
      <c r="A358" s="1" t="s">
        <v>370</v>
      </c>
      <c r="B358">
        <f>HYPERLINK("https://www.suredividend.com/sure-analysis-research-database/","Computer Programs &amp; Systems Inc")</f>
        <v>0</v>
      </c>
      <c r="C358" t="s">
        <v>1922</v>
      </c>
      <c r="D358">
        <v>27.77</v>
      </c>
      <c r="E358">
        <v>0</v>
      </c>
      <c r="F358" t="s">
        <v>1921</v>
      </c>
      <c r="G358" t="s">
        <v>1921</v>
      </c>
      <c r="H358">
        <v>0</v>
      </c>
      <c r="I358">
        <v>403.057584</v>
      </c>
      <c r="J358">
        <v>21.9446607769369</v>
      </c>
      <c r="K358">
        <v>0</v>
      </c>
      <c r="L358">
        <v>0.6632760790297341</v>
      </c>
      <c r="M358">
        <v>35.5</v>
      </c>
      <c r="N358">
        <v>25.33</v>
      </c>
    </row>
    <row r="359" spans="1:14">
      <c r="A359" s="1" t="s">
        <v>371</v>
      </c>
      <c r="B359">
        <f>HYPERLINK("https://www.suredividend.com/sure-analysis-research-database/","CRA International Inc.")</f>
        <v>0</v>
      </c>
      <c r="C359" t="s">
        <v>1924</v>
      </c>
      <c r="D359">
        <v>118.24</v>
      </c>
      <c r="E359">
        <v>0.010860141032557</v>
      </c>
      <c r="F359">
        <v>0.161290322580645</v>
      </c>
      <c r="G359">
        <v>0.1619052549059898</v>
      </c>
      <c r="H359">
        <v>1.284103075689559</v>
      </c>
      <c r="I359">
        <v>843.628802</v>
      </c>
      <c r="J359">
        <v>19.42055254143646</v>
      </c>
      <c r="K359">
        <v>0.2195047992631725</v>
      </c>
      <c r="L359">
        <v>0.6982051484573391</v>
      </c>
      <c r="M359">
        <v>125.71</v>
      </c>
      <c r="N359">
        <v>77.56999999999999</v>
      </c>
    </row>
    <row r="360" spans="1:14">
      <c r="A360" s="1" t="s">
        <v>372</v>
      </c>
      <c r="B360">
        <f>HYPERLINK("https://www.suredividend.com/sure-analysis-research-database/","Caribou Biosciences Inc")</f>
        <v>0</v>
      </c>
      <c r="C360" t="s">
        <v>1921</v>
      </c>
      <c r="D360">
        <v>6.9</v>
      </c>
      <c r="E360">
        <v>0</v>
      </c>
      <c r="F360" t="s">
        <v>1921</v>
      </c>
      <c r="G360" t="s">
        <v>1921</v>
      </c>
      <c r="H360">
        <v>0</v>
      </c>
      <c r="I360">
        <v>420.910771</v>
      </c>
      <c r="J360">
        <v>0</v>
      </c>
      <c r="K360" t="s">
        <v>1921</v>
      </c>
      <c r="L360">
        <v>1.902901589165618</v>
      </c>
      <c r="M360">
        <v>13.48</v>
      </c>
      <c r="N360">
        <v>4.89</v>
      </c>
    </row>
    <row r="361" spans="1:14">
      <c r="A361" s="1" t="s">
        <v>373</v>
      </c>
      <c r="B361">
        <f>HYPERLINK("https://www.suredividend.com/sure-analysis-research-database/","California Resources Corporation")</f>
        <v>0</v>
      </c>
      <c r="C361" t="s">
        <v>1926</v>
      </c>
      <c r="D361">
        <v>42.99</v>
      </c>
      <c r="E361">
        <v>0.018332314401009</v>
      </c>
      <c r="F361" t="s">
        <v>1921</v>
      </c>
      <c r="G361" t="s">
        <v>1921</v>
      </c>
      <c r="H361">
        <v>0.788106196099401</v>
      </c>
      <c r="I361">
        <v>3158.515367</v>
      </c>
      <c r="J361">
        <v>0</v>
      </c>
      <c r="K361" t="s">
        <v>1921</v>
      </c>
      <c r="L361">
        <v>0.8701883783112221</v>
      </c>
      <c r="M361">
        <v>50.96</v>
      </c>
      <c r="N361">
        <v>35.6</v>
      </c>
    </row>
    <row r="362" spans="1:14">
      <c r="A362" s="1" t="s">
        <v>374</v>
      </c>
      <c r="B362">
        <f>HYPERLINK("https://www.suredividend.com/sure-analysis-research-database/","Crawford &amp; Co.")</f>
        <v>0</v>
      </c>
      <c r="C362" t="s">
        <v>1921</v>
      </c>
      <c r="D362">
        <v>7.6</v>
      </c>
      <c r="E362">
        <v>0</v>
      </c>
      <c r="F362" t="s">
        <v>1921</v>
      </c>
      <c r="G362" t="s">
        <v>1921</v>
      </c>
      <c r="H362">
        <v>0.237243744884735</v>
      </c>
      <c r="I362">
        <v>359.509599</v>
      </c>
      <c r="J362">
        <v>0</v>
      </c>
      <c r="K362" t="s">
        <v>1921</v>
      </c>
      <c r="L362">
        <v>0.428613883916256</v>
      </c>
    </row>
    <row r="363" spans="1:14">
      <c r="A363" s="1" t="s">
        <v>375</v>
      </c>
      <c r="B363">
        <f>HYPERLINK("https://www.suredividend.com/sure-analysis-research-database/","Cardiff Oncology Inc")</f>
        <v>0</v>
      </c>
      <c r="C363" t="s">
        <v>1921</v>
      </c>
      <c r="D363">
        <v>1.48</v>
      </c>
      <c r="E363">
        <v>0</v>
      </c>
      <c r="F363" t="s">
        <v>1921</v>
      </c>
      <c r="G363" t="s">
        <v>1921</v>
      </c>
      <c r="H363">
        <v>0</v>
      </c>
      <c r="I363">
        <v>66.12221</v>
      </c>
      <c r="J363">
        <v>0</v>
      </c>
      <c r="K363" t="s">
        <v>1921</v>
      </c>
      <c r="L363">
        <v>1.788122337290754</v>
      </c>
      <c r="M363">
        <v>7.32</v>
      </c>
      <c r="N363">
        <v>1.13</v>
      </c>
    </row>
    <row r="364" spans="1:14">
      <c r="A364" s="1" t="s">
        <v>376</v>
      </c>
      <c r="B364">
        <f>HYPERLINK("https://www.suredividend.com/sure-analysis-research-database/","Credo Technology Group Holding Ltd")</f>
        <v>0</v>
      </c>
      <c r="C364" t="s">
        <v>1921</v>
      </c>
      <c r="D364">
        <v>13.22</v>
      </c>
      <c r="E364">
        <v>0</v>
      </c>
      <c r="F364" t="s">
        <v>1921</v>
      </c>
      <c r="G364" t="s">
        <v>1921</v>
      </c>
      <c r="H364">
        <v>0</v>
      </c>
      <c r="I364">
        <v>1940.189502</v>
      </c>
      <c r="J364">
        <v>0</v>
      </c>
      <c r="K364" t="s">
        <v>1921</v>
      </c>
      <c r="M364">
        <v>18</v>
      </c>
      <c r="N364">
        <v>8.609999999999999</v>
      </c>
    </row>
    <row r="365" spans="1:14">
      <c r="A365" s="1" t="s">
        <v>377</v>
      </c>
      <c r="B365">
        <f>HYPERLINK("https://www.suredividend.com/sure-analysis-research-database/","Crescent Energy Company")</f>
        <v>0</v>
      </c>
      <c r="C365" t="s">
        <v>1921</v>
      </c>
      <c r="D365">
        <v>11.34</v>
      </c>
      <c r="E365">
        <v>0.054707948291061</v>
      </c>
      <c r="F365" t="s">
        <v>1921</v>
      </c>
      <c r="G365" t="s">
        <v>1921</v>
      </c>
      <c r="H365">
        <v>0.6203881336206341</v>
      </c>
      <c r="I365">
        <v>547.519728</v>
      </c>
      <c r="J365">
        <v>0</v>
      </c>
      <c r="K365" t="s">
        <v>1921</v>
      </c>
      <c r="L365">
        <v>0.9436136928845971</v>
      </c>
      <c r="M365">
        <v>19.02</v>
      </c>
      <c r="N365">
        <v>10.62</v>
      </c>
    </row>
    <row r="366" spans="1:14">
      <c r="A366" s="1" t="s">
        <v>378</v>
      </c>
      <c r="B366">
        <f>HYPERLINK("https://www.suredividend.com/sure-analysis-research-database/","Curis Inc")</f>
        <v>0</v>
      </c>
      <c r="C366" t="s">
        <v>1922</v>
      </c>
      <c r="D366">
        <v>0.64</v>
      </c>
      <c r="E366">
        <v>0</v>
      </c>
      <c r="F366" t="s">
        <v>1921</v>
      </c>
      <c r="G366" t="s">
        <v>1921</v>
      </c>
      <c r="H366">
        <v>0</v>
      </c>
      <c r="I366">
        <v>61.69495</v>
      </c>
      <c r="J366" t="s">
        <v>1921</v>
      </c>
      <c r="K366">
        <v>-0</v>
      </c>
      <c r="L366">
        <v>1.1714829910766</v>
      </c>
      <c r="M366">
        <v>4.01</v>
      </c>
      <c r="N366">
        <v>0.47</v>
      </c>
    </row>
    <row r="367" spans="1:14">
      <c r="A367" s="1" t="s">
        <v>379</v>
      </c>
      <c r="B367">
        <f>HYPERLINK("https://www.suredividend.com/sure-analysis-research-database/","Comstock Resources, Inc.")</f>
        <v>0</v>
      </c>
      <c r="C367" t="s">
        <v>1926</v>
      </c>
      <c r="D367">
        <v>12.83</v>
      </c>
      <c r="E367">
        <v>0.009742790335151</v>
      </c>
      <c r="F367" t="s">
        <v>1921</v>
      </c>
      <c r="G367" t="s">
        <v>1921</v>
      </c>
      <c r="H367">
        <v>0.125</v>
      </c>
      <c r="I367">
        <v>2999.111009</v>
      </c>
      <c r="J367">
        <v>3.111227191824591</v>
      </c>
      <c r="K367">
        <v>0.03306878306878307</v>
      </c>
      <c r="L367">
        <v>1.140889156858029</v>
      </c>
      <c r="M367">
        <v>21.96</v>
      </c>
      <c r="N367">
        <v>6.83</v>
      </c>
    </row>
    <row r="368" spans="1:14">
      <c r="A368" s="1" t="s">
        <v>380</v>
      </c>
      <c r="B368">
        <f>HYPERLINK("https://www.suredividend.com/sure-analysis-research-database/","CorMedix Inc")</f>
        <v>0</v>
      </c>
      <c r="C368" t="s">
        <v>1922</v>
      </c>
      <c r="D368">
        <v>4.44</v>
      </c>
      <c r="E368">
        <v>0</v>
      </c>
      <c r="F368" t="s">
        <v>1921</v>
      </c>
      <c r="G368" t="s">
        <v>1921</v>
      </c>
      <c r="H368">
        <v>0</v>
      </c>
      <c r="I368">
        <v>183.292675</v>
      </c>
      <c r="J368">
        <v>0</v>
      </c>
      <c r="K368" t="s">
        <v>1921</v>
      </c>
      <c r="L368">
        <v>1.234034679013009</v>
      </c>
      <c r="M368">
        <v>8.029999999999999</v>
      </c>
      <c r="N368">
        <v>2.65</v>
      </c>
    </row>
    <row r="369" spans="1:14">
      <c r="A369" s="1" t="s">
        <v>381</v>
      </c>
      <c r="B369">
        <f>HYPERLINK("https://www.suredividend.com/sure-analysis-research-database/","Americas Car Mart, Inc.")</f>
        <v>0</v>
      </c>
      <c r="C369" t="s">
        <v>1927</v>
      </c>
      <c r="D369">
        <v>70</v>
      </c>
      <c r="E369">
        <v>0</v>
      </c>
      <c r="F369" t="s">
        <v>1921</v>
      </c>
      <c r="G369" t="s">
        <v>1921</v>
      </c>
      <c r="H369">
        <v>0</v>
      </c>
      <c r="I369">
        <v>445.8188</v>
      </c>
      <c r="J369">
        <v>7.21529746876416</v>
      </c>
      <c r="K369">
        <v>0</v>
      </c>
      <c r="L369">
        <v>1.200381603693126</v>
      </c>
      <c r="M369">
        <v>127.05</v>
      </c>
      <c r="N369">
        <v>52.24</v>
      </c>
    </row>
    <row r="370" spans="1:14">
      <c r="A370" s="1" t="s">
        <v>382</v>
      </c>
      <c r="B370">
        <f>HYPERLINK("https://www.suredividend.com/sure-analysis-research-database/","Cerence Inc")</f>
        <v>0</v>
      </c>
      <c r="C370" t="s">
        <v>1920</v>
      </c>
      <c r="D370">
        <v>21.2</v>
      </c>
      <c r="E370">
        <v>0</v>
      </c>
      <c r="F370" t="s">
        <v>1921</v>
      </c>
      <c r="G370" t="s">
        <v>1921</v>
      </c>
      <c r="H370">
        <v>0</v>
      </c>
      <c r="I370">
        <v>848.373141</v>
      </c>
      <c r="J370" t="s">
        <v>1921</v>
      </c>
      <c r="K370">
        <v>-0</v>
      </c>
      <c r="L370">
        <v>1.707440614064752</v>
      </c>
      <c r="M370">
        <v>84.90000000000001</v>
      </c>
      <c r="N370">
        <v>12.82</v>
      </c>
    </row>
    <row r="371" spans="1:14">
      <c r="A371" s="1" t="s">
        <v>383</v>
      </c>
      <c r="B371">
        <f>HYPERLINK("https://www.suredividend.com/sure-analysis-research-database/","Crinetics Pharmaceuticals Inc")</f>
        <v>0</v>
      </c>
      <c r="C371" t="s">
        <v>1922</v>
      </c>
      <c r="D371">
        <v>16.72</v>
      </c>
      <c r="E371">
        <v>0</v>
      </c>
      <c r="F371" t="s">
        <v>1921</v>
      </c>
      <c r="G371" t="s">
        <v>1921</v>
      </c>
      <c r="H371">
        <v>0</v>
      </c>
      <c r="I371">
        <v>898.746448</v>
      </c>
      <c r="J371">
        <v>0</v>
      </c>
      <c r="K371" t="s">
        <v>1921</v>
      </c>
      <c r="L371">
        <v>1.165257853029801</v>
      </c>
      <c r="M371">
        <v>27.86</v>
      </c>
      <c r="N371">
        <v>15.37</v>
      </c>
    </row>
    <row r="372" spans="1:14">
      <c r="A372" s="1" t="s">
        <v>384</v>
      </c>
      <c r="B372">
        <f>HYPERLINK("https://www.suredividend.com/sure-analysis-research-database/","Crocs Inc")</f>
        <v>0</v>
      </c>
      <c r="C372" t="s">
        <v>1927</v>
      </c>
      <c r="D372">
        <v>113.43</v>
      </c>
      <c r="E372">
        <v>0</v>
      </c>
      <c r="F372" t="s">
        <v>1921</v>
      </c>
      <c r="G372" t="s">
        <v>1921</v>
      </c>
      <c r="H372">
        <v>0</v>
      </c>
      <c r="I372">
        <v>7003.727864</v>
      </c>
      <c r="J372">
        <v>12.56776766961493</v>
      </c>
      <c r="K372">
        <v>0</v>
      </c>
      <c r="L372">
        <v>1.990076688060827</v>
      </c>
      <c r="M372">
        <v>136.81</v>
      </c>
      <c r="N372">
        <v>46.08</v>
      </c>
    </row>
    <row r="373" spans="1:14">
      <c r="A373" s="1" t="s">
        <v>385</v>
      </c>
      <c r="B373">
        <f>HYPERLINK("https://www.suredividend.com/sure-analysis-research-database/","Carpenter Technology Corp.")</f>
        <v>0</v>
      </c>
      <c r="C373" t="s">
        <v>1924</v>
      </c>
      <c r="D373">
        <v>39.58</v>
      </c>
      <c r="E373">
        <v>0.020049828162047</v>
      </c>
      <c r="F373">
        <v>0</v>
      </c>
      <c r="G373">
        <v>0.02129568760013512</v>
      </c>
      <c r="H373">
        <v>0.7935721986538571</v>
      </c>
      <c r="I373">
        <v>1917.450171</v>
      </c>
      <c r="J373" t="s">
        <v>1921</v>
      </c>
      <c r="K373" t="s">
        <v>1921</v>
      </c>
      <c r="L373">
        <v>1.244738163747519</v>
      </c>
      <c r="M373">
        <v>44.24</v>
      </c>
      <c r="N373">
        <v>24.49</v>
      </c>
    </row>
    <row r="374" spans="1:14">
      <c r="A374" s="1" t="s">
        <v>386</v>
      </c>
      <c r="B374">
        <f>HYPERLINK("https://www.suredividend.com/sure-analysis-research-database/","Corsair Gaming Inc")</f>
        <v>0</v>
      </c>
      <c r="C374" t="s">
        <v>1921</v>
      </c>
      <c r="D374">
        <v>14.61</v>
      </c>
      <c r="E374">
        <v>0</v>
      </c>
      <c r="F374" t="s">
        <v>1921</v>
      </c>
      <c r="G374" t="s">
        <v>1921</v>
      </c>
      <c r="H374">
        <v>0</v>
      </c>
      <c r="I374">
        <v>1402.394264</v>
      </c>
      <c r="J374" t="s">
        <v>1921</v>
      </c>
      <c r="K374">
        <v>-0</v>
      </c>
      <c r="L374">
        <v>1.684820260783726</v>
      </c>
      <c r="M374">
        <v>23.98</v>
      </c>
      <c r="N374">
        <v>10.96</v>
      </c>
    </row>
    <row r="375" spans="1:14">
      <c r="A375" s="1" t="s">
        <v>387</v>
      </c>
      <c r="B375">
        <f>HYPERLINK("https://www.suredividend.com/sure-analysis-research-database/","Cortexyme Inc")</f>
        <v>0</v>
      </c>
      <c r="C375" t="s">
        <v>1922</v>
      </c>
      <c r="D375">
        <v>1.95</v>
      </c>
      <c r="E375">
        <v>0</v>
      </c>
      <c r="F375" t="s">
        <v>1921</v>
      </c>
      <c r="G375" t="s">
        <v>1921</v>
      </c>
      <c r="H375">
        <v>0</v>
      </c>
      <c r="I375">
        <v>58.794128</v>
      </c>
      <c r="J375">
        <v>0</v>
      </c>
      <c r="K375" t="s">
        <v>1921</v>
      </c>
      <c r="L375">
        <v>1.432245916811679</v>
      </c>
      <c r="M375">
        <v>121.98</v>
      </c>
      <c r="N375">
        <v>1.78</v>
      </c>
    </row>
    <row r="376" spans="1:14">
      <c r="A376" s="1" t="s">
        <v>388</v>
      </c>
      <c r="B376">
        <f>HYPERLINK("https://www.suredividend.com/sure-analysis-research-database/","Corvel Corp.")</f>
        <v>0</v>
      </c>
      <c r="C376" t="s">
        <v>1923</v>
      </c>
      <c r="D376">
        <v>146.62</v>
      </c>
      <c r="E376">
        <v>0</v>
      </c>
      <c r="F376" t="s">
        <v>1921</v>
      </c>
      <c r="G376" t="s">
        <v>1921</v>
      </c>
      <c r="H376">
        <v>0</v>
      </c>
      <c r="I376">
        <v>2531.429342</v>
      </c>
      <c r="J376">
        <v>39.03996394589927</v>
      </c>
      <c r="K376">
        <v>0</v>
      </c>
      <c r="L376">
        <v>0.7457164704787741</v>
      </c>
      <c r="M376">
        <v>210.93</v>
      </c>
      <c r="N376">
        <v>129.19</v>
      </c>
    </row>
    <row r="377" spans="1:14">
      <c r="A377" s="1" t="s">
        <v>389</v>
      </c>
      <c r="B377">
        <f>HYPERLINK("https://www.suredividend.com/sure-analysis-research-database/","CSG Systems International Inc.")</f>
        <v>0</v>
      </c>
      <c r="C377" t="s">
        <v>1920</v>
      </c>
      <c r="D377">
        <v>57.53</v>
      </c>
      <c r="E377">
        <v>0.018295603871779</v>
      </c>
      <c r="F377">
        <v>0.06000000000000005</v>
      </c>
      <c r="G377">
        <v>0.04762370263962179</v>
      </c>
      <c r="H377">
        <v>1.052546090743501</v>
      </c>
      <c r="I377">
        <v>1812.50756</v>
      </c>
      <c r="J377">
        <v>44.03565501676385</v>
      </c>
      <c r="K377">
        <v>0.8096508390334622</v>
      </c>
      <c r="L377">
        <v>0.643474657643299</v>
      </c>
      <c r="M377">
        <v>65.95999999999999</v>
      </c>
      <c r="N377">
        <v>52.18</v>
      </c>
    </row>
    <row r="378" spans="1:14">
      <c r="A378" s="1" t="s">
        <v>390</v>
      </c>
      <c r="B378">
        <f>HYPERLINK("https://www.suredividend.com/sure-analysis-research-database/","Cardiovascular Systems Inc.")</f>
        <v>0</v>
      </c>
      <c r="C378" t="s">
        <v>1922</v>
      </c>
      <c r="D378">
        <v>13.94</v>
      </c>
      <c r="E378">
        <v>0</v>
      </c>
      <c r="F378" t="s">
        <v>1921</v>
      </c>
      <c r="G378" t="s">
        <v>1921</v>
      </c>
      <c r="H378">
        <v>0</v>
      </c>
      <c r="I378">
        <v>583.838509</v>
      </c>
      <c r="J378" t="s">
        <v>1921</v>
      </c>
      <c r="K378">
        <v>-0</v>
      </c>
      <c r="L378">
        <v>0.982322210108561</v>
      </c>
      <c r="M378">
        <v>23.47</v>
      </c>
      <c r="N378">
        <v>12.26</v>
      </c>
    </row>
    <row r="379" spans="1:14">
      <c r="A379" s="1" t="s">
        <v>391</v>
      </c>
      <c r="B379">
        <f>HYPERLINK("https://www.suredividend.com/sure-analysis-research-database/","Centerspace")</f>
        <v>0</v>
      </c>
      <c r="C379" t="s">
        <v>1921</v>
      </c>
      <c r="D379">
        <v>60.33</v>
      </c>
      <c r="E379">
        <v>0.04758709199463401</v>
      </c>
      <c r="F379">
        <v>0.01388888888888884</v>
      </c>
      <c r="G379">
        <v>0.5982509233954636</v>
      </c>
      <c r="H379">
        <v>2.870929260036316</v>
      </c>
      <c r="I379">
        <v>909.112046</v>
      </c>
      <c r="J379" t="s">
        <v>1921</v>
      </c>
      <c r="K379" t="s">
        <v>1921</v>
      </c>
      <c r="L379">
        <v>0.6639535162840791</v>
      </c>
      <c r="M379">
        <v>104.43</v>
      </c>
      <c r="N379">
        <v>57.03</v>
      </c>
    </row>
    <row r="380" spans="1:14">
      <c r="A380" s="1" t="s">
        <v>392</v>
      </c>
      <c r="B380">
        <f>HYPERLINK("https://www.suredividend.com/sure-analysis-research-database/","Chicken Soup for the Soul Entertainment Inc")</f>
        <v>0</v>
      </c>
      <c r="C380" t="s">
        <v>1931</v>
      </c>
      <c r="D380">
        <v>5.8</v>
      </c>
      <c r="E380">
        <v>0</v>
      </c>
      <c r="F380" t="s">
        <v>1921</v>
      </c>
      <c r="G380" t="s">
        <v>1921</v>
      </c>
      <c r="H380">
        <v>0</v>
      </c>
      <c r="I380">
        <v>76.274147</v>
      </c>
      <c r="J380">
        <v>0</v>
      </c>
      <c r="K380" t="s">
        <v>1921</v>
      </c>
      <c r="L380">
        <v>1.31938610818753</v>
      </c>
      <c r="M380">
        <v>15.89</v>
      </c>
      <c r="N380">
        <v>4.35</v>
      </c>
    </row>
    <row r="381" spans="1:14">
      <c r="A381" s="1" t="s">
        <v>393</v>
      </c>
      <c r="B381">
        <f>HYPERLINK("https://www.suredividend.com/sure-analysis-research-database/","Caesarstone Ltd")</f>
        <v>0</v>
      </c>
      <c r="C381" t="s">
        <v>1924</v>
      </c>
      <c r="D381">
        <v>6.31</v>
      </c>
      <c r="E381">
        <v>0.03961965134706801</v>
      </c>
      <c r="F381" t="s">
        <v>1921</v>
      </c>
      <c r="G381" t="s">
        <v>1921</v>
      </c>
      <c r="H381">
        <v>0.25</v>
      </c>
      <c r="I381">
        <v>217.525072</v>
      </c>
      <c r="J381">
        <v>15.49875822586391</v>
      </c>
      <c r="K381">
        <v>0.6159152500615914</v>
      </c>
      <c r="L381">
        <v>0.6760139786739791</v>
      </c>
      <c r="M381">
        <v>12.52</v>
      </c>
      <c r="N381">
        <v>5.59</v>
      </c>
    </row>
    <row r="382" spans="1:14">
      <c r="A382" s="1" t="s">
        <v>394</v>
      </c>
      <c r="B382">
        <f>HYPERLINK("https://www.suredividend.com/sure-analysis-research-database/","Castle Biosciences Inc")</f>
        <v>0</v>
      </c>
      <c r="C382" t="s">
        <v>1922</v>
      </c>
      <c r="D382">
        <v>23.37</v>
      </c>
      <c r="E382">
        <v>0</v>
      </c>
      <c r="F382" t="s">
        <v>1921</v>
      </c>
      <c r="G382" t="s">
        <v>1921</v>
      </c>
      <c r="H382">
        <v>0</v>
      </c>
      <c r="I382">
        <v>615.836331</v>
      </c>
      <c r="J382">
        <v>0</v>
      </c>
      <c r="K382" t="s">
        <v>1921</v>
      </c>
      <c r="L382">
        <v>1.896150738932541</v>
      </c>
      <c r="M382">
        <v>48.4</v>
      </c>
      <c r="N382">
        <v>15.58</v>
      </c>
    </row>
    <row r="383" spans="1:14">
      <c r="A383" s="1" t="s">
        <v>395</v>
      </c>
      <c r="B383">
        <f>HYPERLINK("https://www.suredividend.com/sure-analysis-research-database/","Constellium SE")</f>
        <v>0</v>
      </c>
      <c r="C383" t="s">
        <v>1925</v>
      </c>
      <c r="D383">
        <v>13.2</v>
      </c>
      <c r="E383">
        <v>0</v>
      </c>
      <c r="F383" t="s">
        <v>1921</v>
      </c>
      <c r="G383" t="s">
        <v>1921</v>
      </c>
      <c r="H383">
        <v>0</v>
      </c>
      <c r="I383">
        <v>1847.50727</v>
      </c>
      <c r="J383">
        <v>0</v>
      </c>
      <c r="K383" t="s">
        <v>1921</v>
      </c>
      <c r="L383">
        <v>1.296454105818199</v>
      </c>
      <c r="M383">
        <v>20.85</v>
      </c>
      <c r="N383">
        <v>9.82</v>
      </c>
    </row>
    <row r="384" spans="1:14">
      <c r="A384" s="1" t="s">
        <v>396</v>
      </c>
      <c r="B384">
        <f>HYPERLINK("https://www.suredividend.com/sure-analysis-research-database/","CapStar Financial Holdings Inc")</f>
        <v>0</v>
      </c>
      <c r="C384" t="s">
        <v>1923</v>
      </c>
      <c r="D384">
        <v>17.66</v>
      </c>
      <c r="E384">
        <v>0.020240969963859</v>
      </c>
      <c r="F384" t="s">
        <v>1921</v>
      </c>
      <c r="G384" t="s">
        <v>1921</v>
      </c>
      <c r="H384">
        <v>0.357455529561752</v>
      </c>
      <c r="I384">
        <v>389.686849</v>
      </c>
      <c r="J384">
        <v>8.431860160550459</v>
      </c>
      <c r="K384">
        <v>0.1718536199816116</v>
      </c>
      <c r="L384">
        <v>0.4378689929094801</v>
      </c>
      <c r="M384">
        <v>21.87</v>
      </c>
      <c r="N384">
        <v>15.62</v>
      </c>
    </row>
    <row r="385" spans="1:14">
      <c r="A385" s="1" t="s">
        <v>397</v>
      </c>
      <c r="B385">
        <f>HYPERLINK("https://www.suredividend.com/sure-analysis-research-database/","Carriage Services, Inc.")</f>
        <v>0</v>
      </c>
      <c r="C385" t="s">
        <v>1927</v>
      </c>
      <c r="D385">
        <v>29.27</v>
      </c>
      <c r="E385">
        <v>0.015283386710455</v>
      </c>
      <c r="F385">
        <v>0</v>
      </c>
      <c r="G385">
        <v>0.08447177119769855</v>
      </c>
      <c r="H385">
        <v>0.44734472901504</v>
      </c>
      <c r="I385">
        <v>430.70243</v>
      </c>
      <c r="J385">
        <v>9.268796379443918</v>
      </c>
      <c r="K385">
        <v>0.1580723424081414</v>
      </c>
      <c r="L385">
        <v>0.86656533058393</v>
      </c>
      <c r="M385">
        <v>57.71</v>
      </c>
      <c r="N385">
        <v>22.6</v>
      </c>
    </row>
    <row r="386" spans="1:14">
      <c r="A386" s="1" t="s">
        <v>398</v>
      </c>
      <c r="B386">
        <f>HYPERLINK("https://www.suredividend.com/sure-analysis-research-database/","CSW Industrials Inc")</f>
        <v>0</v>
      </c>
      <c r="C386" t="s">
        <v>1924</v>
      </c>
      <c r="D386">
        <v>122.22</v>
      </c>
      <c r="E386">
        <v>0.005388943395700001</v>
      </c>
      <c r="F386" t="s">
        <v>1921</v>
      </c>
      <c r="G386" t="s">
        <v>1921</v>
      </c>
      <c r="H386">
        <v>0.6586366618225451</v>
      </c>
      <c r="I386">
        <v>1891.582563</v>
      </c>
      <c r="J386">
        <v>23.03577376264995</v>
      </c>
      <c r="K386">
        <v>0.1259343521649226</v>
      </c>
      <c r="L386">
        <v>0.694787459110047</v>
      </c>
      <c r="M386">
        <v>143.83</v>
      </c>
      <c r="N386">
        <v>95.76000000000001</v>
      </c>
    </row>
    <row r="387" spans="1:14">
      <c r="A387" s="1" t="s">
        <v>399</v>
      </c>
      <c r="B387">
        <f>HYPERLINK("https://www.suredividend.com/sure-analysis-CTBI/","Community Trust Bancorp, Inc.")</f>
        <v>0</v>
      </c>
      <c r="C387" t="s">
        <v>1923</v>
      </c>
      <c r="D387">
        <v>46.16</v>
      </c>
      <c r="E387">
        <v>0.03812824956672444</v>
      </c>
      <c r="F387">
        <v>0.09999999999999987</v>
      </c>
      <c r="G387">
        <v>0.05922384104881218</v>
      </c>
      <c r="H387">
        <v>1.656213850640909</v>
      </c>
      <c r="I387">
        <v>827.107805</v>
      </c>
      <c r="J387">
        <v>10.52045694806599</v>
      </c>
      <c r="K387">
        <v>0.3755586962904555</v>
      </c>
      <c r="L387">
        <v>0.450044504132167</v>
      </c>
      <c r="M387">
        <v>47.6</v>
      </c>
      <c r="N387">
        <v>38.33</v>
      </c>
    </row>
    <row r="388" spans="1:14">
      <c r="A388" s="1" t="s">
        <v>400</v>
      </c>
      <c r="B388">
        <f>HYPERLINK("https://www.suredividend.com/sure-analysis-research-database/","Cytek BioSciences Inc")</f>
        <v>0</v>
      </c>
      <c r="C388" t="s">
        <v>1921</v>
      </c>
      <c r="D388">
        <v>10.57</v>
      </c>
      <c r="E388">
        <v>0</v>
      </c>
      <c r="F388" t="s">
        <v>1921</v>
      </c>
      <c r="G388" t="s">
        <v>1921</v>
      </c>
      <c r="H388">
        <v>0</v>
      </c>
      <c r="I388">
        <v>1425.400005</v>
      </c>
      <c r="J388">
        <v>0</v>
      </c>
      <c r="K388" t="s">
        <v>1921</v>
      </c>
      <c r="L388">
        <v>1.461552385361175</v>
      </c>
      <c r="M388">
        <v>16.05</v>
      </c>
      <c r="N388">
        <v>7.38</v>
      </c>
    </row>
    <row r="389" spans="1:14">
      <c r="A389" s="1" t="s">
        <v>401</v>
      </c>
      <c r="B389">
        <f>HYPERLINK("https://www.suredividend.com/sure-analysis-research-database/","Cantaloupe Inc")</f>
        <v>0</v>
      </c>
      <c r="C389" t="s">
        <v>1921</v>
      </c>
      <c r="D389">
        <v>4.7</v>
      </c>
      <c r="E389">
        <v>0</v>
      </c>
      <c r="F389" t="s">
        <v>1921</v>
      </c>
      <c r="G389" t="s">
        <v>1921</v>
      </c>
      <c r="H389">
        <v>0</v>
      </c>
      <c r="I389">
        <v>334.725211</v>
      </c>
      <c r="J389">
        <v>0</v>
      </c>
      <c r="K389" t="s">
        <v>1921</v>
      </c>
      <c r="L389">
        <v>1.241719389997674</v>
      </c>
      <c r="M389">
        <v>9.050000000000001</v>
      </c>
      <c r="N389">
        <v>2.77</v>
      </c>
    </row>
    <row r="390" spans="1:14">
      <c r="A390" s="1" t="s">
        <v>402</v>
      </c>
      <c r="B390">
        <f>HYPERLINK("https://www.suredividend.com/sure-analysis-research-database/","CytomX Therapeutics Inc")</f>
        <v>0</v>
      </c>
      <c r="C390" t="s">
        <v>1922</v>
      </c>
      <c r="D390">
        <v>2.88</v>
      </c>
      <c r="E390">
        <v>0</v>
      </c>
      <c r="F390" t="s">
        <v>1921</v>
      </c>
      <c r="G390" t="s">
        <v>1921</v>
      </c>
      <c r="H390">
        <v>0</v>
      </c>
      <c r="I390">
        <v>190.322977</v>
      </c>
      <c r="J390" t="s">
        <v>1921</v>
      </c>
      <c r="K390">
        <v>-0</v>
      </c>
      <c r="L390">
        <v>1.110340273318223</v>
      </c>
      <c r="M390">
        <v>4.73</v>
      </c>
      <c r="N390">
        <v>1.17</v>
      </c>
    </row>
    <row r="391" spans="1:14">
      <c r="A391" s="1" t="s">
        <v>403</v>
      </c>
      <c r="B391">
        <f>HYPERLINK("https://www.suredividend.com/sure-analysis-CTO/","CTO Realty Growth Inc")</f>
        <v>0</v>
      </c>
      <c r="C391" t="s">
        <v>1929</v>
      </c>
      <c r="D391">
        <v>18.33</v>
      </c>
      <c r="E391">
        <v>0.08183306055646482</v>
      </c>
      <c r="F391">
        <v>-0.62</v>
      </c>
      <c r="G391">
        <v>0.4465267498881476</v>
      </c>
      <c r="H391">
        <v>1.452278887509639</v>
      </c>
      <c r="I391">
        <v>418.675347</v>
      </c>
      <c r="J391">
        <v>123.6124436669619</v>
      </c>
      <c r="K391">
        <v>8.032515970739153</v>
      </c>
      <c r="L391">
        <v>0.5496122993962771</v>
      </c>
      <c r="M391">
        <v>22.2</v>
      </c>
      <c r="N391">
        <v>16.84</v>
      </c>
    </row>
    <row r="392" spans="1:14">
      <c r="A392" s="1" t="s">
        <v>404</v>
      </c>
      <c r="B392">
        <f>HYPERLINK("https://www.suredividend.com/sure-analysis-research-database/","Custom Truck One Source Inc")</f>
        <v>0</v>
      </c>
      <c r="C392" t="s">
        <v>1921</v>
      </c>
      <c r="D392">
        <v>6.85</v>
      </c>
      <c r="E392">
        <v>0</v>
      </c>
      <c r="F392" t="s">
        <v>1921</v>
      </c>
      <c r="G392" t="s">
        <v>1921</v>
      </c>
      <c r="H392">
        <v>0</v>
      </c>
      <c r="I392">
        <v>1689.144192</v>
      </c>
      <c r="J392">
        <v>0</v>
      </c>
      <c r="K392" t="s">
        <v>1921</v>
      </c>
      <c r="L392">
        <v>1.176864151745435</v>
      </c>
      <c r="M392">
        <v>9.4</v>
      </c>
      <c r="N392">
        <v>4.54</v>
      </c>
    </row>
    <row r="393" spans="1:14">
      <c r="A393" s="1" t="s">
        <v>405</v>
      </c>
      <c r="B393">
        <f>HYPERLINK("https://www.suredividend.com/sure-analysis-CTRE/","CareTrust REIT Inc")</f>
        <v>0</v>
      </c>
      <c r="C393" t="s">
        <v>1929</v>
      </c>
      <c r="D393">
        <v>18.98</v>
      </c>
      <c r="E393">
        <v>0.05795574288724974</v>
      </c>
      <c r="F393">
        <v>0.03773584905660377</v>
      </c>
      <c r="G393">
        <v>0.06051243834129849</v>
      </c>
      <c r="H393">
        <v>0.8127764891936621</v>
      </c>
      <c r="I393">
        <v>1841.605523</v>
      </c>
      <c r="J393">
        <v>0</v>
      </c>
      <c r="K393" t="s">
        <v>1921</v>
      </c>
      <c r="M393">
        <v>21.79</v>
      </c>
      <c r="N393">
        <v>14.98</v>
      </c>
    </row>
    <row r="394" spans="1:14">
      <c r="A394" s="1" t="s">
        <v>406</v>
      </c>
      <c r="B394">
        <f>HYPERLINK("https://www.suredividend.com/sure-analysis-research-database/","Citi Trends Inc")</f>
        <v>0</v>
      </c>
      <c r="C394" t="s">
        <v>1927</v>
      </c>
      <c r="D394">
        <v>29.67</v>
      </c>
      <c r="E394">
        <v>0</v>
      </c>
      <c r="F394" t="s">
        <v>1921</v>
      </c>
      <c r="G394" t="s">
        <v>1921</v>
      </c>
      <c r="H394">
        <v>0</v>
      </c>
      <c r="I394">
        <v>247.930056</v>
      </c>
      <c r="J394">
        <v>3.992818246207363</v>
      </c>
      <c r="K394">
        <v>0</v>
      </c>
      <c r="L394">
        <v>1.697701904057228</v>
      </c>
      <c r="M394">
        <v>69.63</v>
      </c>
      <c r="N394">
        <v>15.48</v>
      </c>
    </row>
    <row r="395" spans="1:14">
      <c r="A395" s="1" t="s">
        <v>407</v>
      </c>
      <c r="B395">
        <f>HYPERLINK("https://www.suredividend.com/sure-analysis-research-database/","CTS Corp.")</f>
        <v>0</v>
      </c>
      <c r="C395" t="s">
        <v>1920</v>
      </c>
      <c r="D395">
        <v>43.28</v>
      </c>
      <c r="E395">
        <v>0.00369133724996</v>
      </c>
      <c r="F395">
        <v>0</v>
      </c>
      <c r="G395">
        <v>0</v>
      </c>
      <c r="H395">
        <v>0.159761076178308</v>
      </c>
      <c r="I395">
        <v>1379.761553</v>
      </c>
      <c r="J395">
        <v>25.64612551375465</v>
      </c>
      <c r="K395">
        <v>0.09509587867756428</v>
      </c>
      <c r="L395">
        <v>0.884001991291902</v>
      </c>
      <c r="M395">
        <v>45.17</v>
      </c>
      <c r="N395">
        <v>30.94</v>
      </c>
    </row>
    <row r="396" spans="1:14">
      <c r="A396" s="1" t="s">
        <v>408</v>
      </c>
      <c r="B396">
        <f>HYPERLINK("https://www.suredividend.com/sure-analysis-research-database/","Cytosorbents Corp")</f>
        <v>0</v>
      </c>
      <c r="C396" t="s">
        <v>1922</v>
      </c>
      <c r="D396">
        <v>1.93</v>
      </c>
      <c r="E396">
        <v>0</v>
      </c>
      <c r="F396" t="s">
        <v>1921</v>
      </c>
      <c r="G396" t="s">
        <v>1921</v>
      </c>
      <c r="H396">
        <v>0</v>
      </c>
      <c r="I396">
        <v>84.21693</v>
      </c>
      <c r="J396">
        <v>0</v>
      </c>
      <c r="K396" t="s">
        <v>1921</v>
      </c>
      <c r="L396">
        <v>1.023122178972787</v>
      </c>
      <c r="M396">
        <v>4.15</v>
      </c>
      <c r="N396">
        <v>1.03</v>
      </c>
    </row>
    <row r="397" spans="1:14">
      <c r="A397" s="1" t="s">
        <v>409</v>
      </c>
      <c r="B397">
        <f>HYPERLINK("https://www.suredividend.com/sure-analysis-research-database/","CatchMark Timber Trust Inc")</f>
        <v>0</v>
      </c>
      <c r="C397" t="s">
        <v>1929</v>
      </c>
      <c r="D397">
        <v>10.37</v>
      </c>
      <c r="E397">
        <v>0</v>
      </c>
      <c r="F397" t="s">
        <v>1921</v>
      </c>
      <c r="G397" t="s">
        <v>1921</v>
      </c>
      <c r="H397">
        <v>0.222892087137926</v>
      </c>
      <c r="I397">
        <v>510.983523</v>
      </c>
      <c r="J397">
        <v>0</v>
      </c>
      <c r="K397" t="s">
        <v>1921</v>
      </c>
    </row>
    <row r="398" spans="1:14">
      <c r="A398" s="1" t="s">
        <v>410</v>
      </c>
      <c r="B398">
        <f>HYPERLINK("https://www.suredividend.com/sure-analysis-research-database/","Citius Pharmaceuticals Inc")</f>
        <v>0</v>
      </c>
      <c r="C398" t="s">
        <v>1922</v>
      </c>
      <c r="D398">
        <v>0.9078000000000001</v>
      </c>
      <c r="E398">
        <v>0</v>
      </c>
      <c r="F398" t="s">
        <v>1921</v>
      </c>
      <c r="G398" t="s">
        <v>1921</v>
      </c>
      <c r="H398">
        <v>0</v>
      </c>
      <c r="I398">
        <v>132.730464</v>
      </c>
      <c r="J398">
        <v>0</v>
      </c>
      <c r="K398" t="s">
        <v>1921</v>
      </c>
      <c r="L398">
        <v>0.8852396658052261</v>
      </c>
      <c r="M398">
        <v>2.01</v>
      </c>
      <c r="N398">
        <v>0.77</v>
      </c>
    </row>
    <row r="399" spans="1:14">
      <c r="A399" s="1" t="s">
        <v>411</v>
      </c>
      <c r="B399">
        <f>HYPERLINK("https://www.suredividend.com/sure-analysis-research-database/","Customers Bancorp Inc")</f>
        <v>0</v>
      </c>
      <c r="C399" t="s">
        <v>1923</v>
      </c>
      <c r="D399">
        <v>28.17</v>
      </c>
      <c r="E399">
        <v>0</v>
      </c>
      <c r="F399" t="s">
        <v>1921</v>
      </c>
      <c r="G399" t="s">
        <v>1921</v>
      </c>
      <c r="H399">
        <v>0</v>
      </c>
      <c r="I399">
        <v>915.958621</v>
      </c>
      <c r="J399">
        <v>3.143023000041177</v>
      </c>
      <c r="K399">
        <v>0</v>
      </c>
      <c r="L399">
        <v>1.504888081058166</v>
      </c>
      <c r="M399">
        <v>75.45</v>
      </c>
      <c r="N399">
        <v>26.43</v>
      </c>
    </row>
    <row r="400" spans="1:14">
      <c r="A400" s="1" t="s">
        <v>412</v>
      </c>
      <c r="B400">
        <f>HYPERLINK("https://www.suredividend.com/sure-analysis-research-database/","Cue Biopharma Inc")</f>
        <v>0</v>
      </c>
      <c r="C400" t="s">
        <v>1922</v>
      </c>
      <c r="D400">
        <v>2.98</v>
      </c>
      <c r="E400">
        <v>0</v>
      </c>
      <c r="F400" t="s">
        <v>1921</v>
      </c>
      <c r="G400" t="s">
        <v>1921</v>
      </c>
      <c r="H400">
        <v>0</v>
      </c>
      <c r="I400">
        <v>128.266793</v>
      </c>
      <c r="J400">
        <v>0</v>
      </c>
      <c r="K400" t="s">
        <v>1921</v>
      </c>
      <c r="L400">
        <v>1.5177752640657</v>
      </c>
      <c r="M400">
        <v>11.23</v>
      </c>
      <c r="N400">
        <v>2.18</v>
      </c>
    </row>
    <row r="401" spans="1:14">
      <c r="A401" s="1" t="s">
        <v>413</v>
      </c>
      <c r="B401">
        <f>HYPERLINK("https://www.suredividend.com/sure-analysis-research-database/","CuriosityStream Inc")</f>
        <v>0</v>
      </c>
      <c r="C401" t="s">
        <v>1921</v>
      </c>
      <c r="D401">
        <v>1.33</v>
      </c>
      <c r="E401">
        <v>0</v>
      </c>
      <c r="F401" t="s">
        <v>1921</v>
      </c>
      <c r="G401" t="s">
        <v>1921</v>
      </c>
      <c r="H401">
        <v>0</v>
      </c>
      <c r="I401">
        <v>70.232133</v>
      </c>
      <c r="J401">
        <v>0</v>
      </c>
      <c r="K401" t="s">
        <v>1921</v>
      </c>
      <c r="L401">
        <v>1.64551418077156</v>
      </c>
      <c r="M401">
        <v>6.05</v>
      </c>
      <c r="N401">
        <v>1.1</v>
      </c>
    </row>
    <row r="402" spans="1:14">
      <c r="A402" s="1" t="s">
        <v>414</v>
      </c>
      <c r="B402">
        <f>HYPERLINK("https://www.suredividend.com/sure-analysis-research-database/","CURO Group Holdings Corp")</f>
        <v>0</v>
      </c>
      <c r="C402" t="s">
        <v>1923</v>
      </c>
      <c r="D402">
        <v>3.72</v>
      </c>
      <c r="E402">
        <v>0.087498226600317</v>
      </c>
      <c r="F402" t="s">
        <v>1921</v>
      </c>
      <c r="G402" t="s">
        <v>1921</v>
      </c>
      <c r="H402">
        <v>0.32549340295318</v>
      </c>
      <c r="I402">
        <v>150.605617</v>
      </c>
      <c r="J402" t="s">
        <v>1921</v>
      </c>
      <c r="K402" t="s">
        <v>1921</v>
      </c>
      <c r="L402">
        <v>1.713682739287611</v>
      </c>
      <c r="M402">
        <v>16.54</v>
      </c>
      <c r="N402">
        <v>2.97</v>
      </c>
    </row>
    <row r="403" spans="1:14">
      <c r="A403" s="1" t="s">
        <v>415</v>
      </c>
      <c r="B403">
        <f>HYPERLINK("https://www.suredividend.com/sure-analysis-research-database/","Torrid Holdings Inc")</f>
        <v>0</v>
      </c>
      <c r="C403" t="s">
        <v>1921</v>
      </c>
      <c r="D403">
        <v>3.16</v>
      </c>
      <c r="E403">
        <v>0</v>
      </c>
      <c r="F403" t="s">
        <v>1921</v>
      </c>
      <c r="G403" t="s">
        <v>1921</v>
      </c>
      <c r="H403">
        <v>0</v>
      </c>
      <c r="I403">
        <v>327.564469</v>
      </c>
      <c r="J403">
        <v>0</v>
      </c>
      <c r="K403" t="s">
        <v>1921</v>
      </c>
      <c r="L403">
        <v>1.74874976464755</v>
      </c>
      <c r="M403">
        <v>10.28</v>
      </c>
      <c r="N403">
        <v>2.59</v>
      </c>
    </row>
    <row r="404" spans="1:14">
      <c r="A404" s="1" t="s">
        <v>416</v>
      </c>
      <c r="B404">
        <f>HYPERLINK("https://www.suredividend.com/sure-analysis-research-database/","Cutera Inc")</f>
        <v>0</v>
      </c>
      <c r="C404" t="s">
        <v>1922</v>
      </c>
      <c r="D404">
        <v>31.04</v>
      </c>
      <c r="E404">
        <v>0</v>
      </c>
      <c r="F404" t="s">
        <v>1921</v>
      </c>
      <c r="G404" t="s">
        <v>1921</v>
      </c>
      <c r="H404">
        <v>0</v>
      </c>
      <c r="I404">
        <v>608.864437</v>
      </c>
      <c r="J404" t="s">
        <v>1921</v>
      </c>
      <c r="K404">
        <v>-0</v>
      </c>
      <c r="L404">
        <v>1.524140693501096</v>
      </c>
      <c r="M404">
        <v>74.38</v>
      </c>
      <c r="N404">
        <v>29.49</v>
      </c>
    </row>
    <row r="405" spans="1:14">
      <c r="A405" s="1" t="s">
        <v>417</v>
      </c>
      <c r="B405">
        <f>HYPERLINK("https://www.suredividend.com/sure-analysis-research-database/","CVB Financial Corp.")</f>
        <v>0</v>
      </c>
      <c r="C405" t="s">
        <v>1923</v>
      </c>
      <c r="D405">
        <v>24.88</v>
      </c>
      <c r="E405">
        <v>0.030606256196459</v>
      </c>
      <c r="F405">
        <v>0.1111111111111112</v>
      </c>
      <c r="G405">
        <v>0.07394092378577932</v>
      </c>
      <c r="H405">
        <v>0.7614836541679241</v>
      </c>
      <c r="I405">
        <v>3478.423065</v>
      </c>
      <c r="J405">
        <v>16.12822682894938</v>
      </c>
      <c r="K405">
        <v>0.4944699053038468</v>
      </c>
      <c r="L405">
        <v>0.420665926250486</v>
      </c>
      <c r="M405">
        <v>29.03</v>
      </c>
      <c r="N405">
        <v>20.79</v>
      </c>
    </row>
    <row r="406" spans="1:14">
      <c r="A406" s="1" t="s">
        <v>418</v>
      </c>
      <c r="B406">
        <f>HYPERLINK("https://www.suredividend.com/sure-analysis-research-database/","Cavco Industries Inc")</f>
        <v>0</v>
      </c>
      <c r="C406" t="s">
        <v>1927</v>
      </c>
      <c r="D406">
        <v>236.81</v>
      </c>
      <c r="E406">
        <v>0</v>
      </c>
      <c r="F406" t="s">
        <v>1921</v>
      </c>
      <c r="G406" t="s">
        <v>1921</v>
      </c>
      <c r="H406">
        <v>0</v>
      </c>
      <c r="I406">
        <v>2109.820569</v>
      </c>
      <c r="J406">
        <v>7.909029313092994</v>
      </c>
      <c r="K406">
        <v>0</v>
      </c>
      <c r="L406">
        <v>1.336086245205071</v>
      </c>
      <c r="M406">
        <v>305.21</v>
      </c>
      <c r="N406">
        <v>179.47</v>
      </c>
    </row>
    <row r="407" spans="1:14">
      <c r="A407" s="1" t="s">
        <v>419</v>
      </c>
      <c r="B407">
        <f>HYPERLINK("https://www.suredividend.com/sure-analysis-research-database/","Covetrus Inc")</f>
        <v>0</v>
      </c>
      <c r="C407" t="s">
        <v>1922</v>
      </c>
      <c r="D407">
        <v>20.99</v>
      </c>
      <c r="E407">
        <v>0</v>
      </c>
      <c r="F407" t="s">
        <v>1921</v>
      </c>
      <c r="G407" t="s">
        <v>1921</v>
      </c>
      <c r="H407">
        <v>0</v>
      </c>
      <c r="I407">
        <v>0</v>
      </c>
      <c r="J407">
        <v>0</v>
      </c>
      <c r="K407" t="s">
        <v>1921</v>
      </c>
    </row>
    <row r="408" spans="1:14">
      <c r="A408" s="1" t="s">
        <v>420</v>
      </c>
      <c r="B408">
        <f>HYPERLINK("https://www.suredividend.com/sure-analysis-research-database/","Commercial Vehicle Group Inc")</f>
        <v>0</v>
      </c>
      <c r="C408" t="s">
        <v>1927</v>
      </c>
      <c r="D408">
        <v>7.1</v>
      </c>
      <c r="E408">
        <v>0</v>
      </c>
      <c r="F408" t="s">
        <v>1921</v>
      </c>
      <c r="G408" t="s">
        <v>1921</v>
      </c>
      <c r="H408">
        <v>0</v>
      </c>
      <c r="I408">
        <v>236.955272</v>
      </c>
      <c r="J408">
        <v>18.72572089457879</v>
      </c>
      <c r="K408">
        <v>0</v>
      </c>
      <c r="L408">
        <v>1.038961871299477</v>
      </c>
      <c r="M408">
        <v>9.109999999999999</v>
      </c>
      <c r="N408">
        <v>4.03</v>
      </c>
    </row>
    <row r="409" spans="1:14">
      <c r="A409" s="1" t="s">
        <v>421</v>
      </c>
      <c r="B409">
        <f>HYPERLINK("https://www.suredividend.com/sure-analysis-research-database/","Calavo Growers, Inc")</f>
        <v>0</v>
      </c>
      <c r="C409" t="s">
        <v>1928</v>
      </c>
      <c r="D409">
        <v>30.68</v>
      </c>
      <c r="E409">
        <v>0.009370925490206001</v>
      </c>
      <c r="F409" t="s">
        <v>1921</v>
      </c>
      <c r="G409" t="s">
        <v>1921</v>
      </c>
      <c r="H409">
        <v>0.287499994039535</v>
      </c>
      <c r="I409">
        <v>544.007359</v>
      </c>
      <c r="J409" t="s">
        <v>1921</v>
      </c>
      <c r="K409" t="s">
        <v>1921</v>
      </c>
      <c r="L409">
        <v>0.374450370049089</v>
      </c>
      <c r="M409">
        <v>45.13</v>
      </c>
      <c r="N409">
        <v>27.29</v>
      </c>
    </row>
    <row r="410" spans="1:14">
      <c r="A410" s="1" t="s">
        <v>422</v>
      </c>
      <c r="B410">
        <f>HYPERLINK("https://www.suredividend.com/sure-analysis-research-database/","CVR Energy Inc")</f>
        <v>0</v>
      </c>
      <c r="C410" t="s">
        <v>1926</v>
      </c>
      <c r="D410">
        <v>31.42</v>
      </c>
      <c r="E410">
        <v>0.037360636249478</v>
      </c>
      <c r="F410">
        <v>-0.6153846153846154</v>
      </c>
      <c r="G410">
        <v>0.1486983549970351</v>
      </c>
      <c r="H410">
        <v>1.173871190958626</v>
      </c>
      <c r="I410">
        <v>3158.671421</v>
      </c>
      <c r="J410">
        <v>9.345181717692309</v>
      </c>
      <c r="K410">
        <v>0.3493664258805435</v>
      </c>
      <c r="L410">
        <v>0.7851271344833031</v>
      </c>
      <c r="M410">
        <v>42.17</v>
      </c>
      <c r="N410">
        <v>16.06</v>
      </c>
    </row>
    <row r="411" spans="1:14">
      <c r="A411" s="1" t="s">
        <v>423</v>
      </c>
      <c r="B411">
        <f>HYPERLINK("https://www.suredividend.com/sure-analysis-research-database/","Covenant Logistics Group Inc")</f>
        <v>0</v>
      </c>
      <c r="C411" t="s">
        <v>1921</v>
      </c>
      <c r="D411">
        <v>33.84</v>
      </c>
      <c r="E411">
        <v>0.008393878548549</v>
      </c>
      <c r="F411" t="s">
        <v>1921</v>
      </c>
      <c r="G411" t="s">
        <v>1921</v>
      </c>
      <c r="H411">
        <v>0.284048850082917</v>
      </c>
      <c r="I411">
        <v>377.122774</v>
      </c>
      <c r="J411">
        <v>3.281896907144722</v>
      </c>
      <c r="K411">
        <v>0.03978275211245336</v>
      </c>
      <c r="L411">
        <v>1.051442473545551</v>
      </c>
      <c r="M411">
        <v>40.29</v>
      </c>
      <c r="N411">
        <v>17.1</v>
      </c>
    </row>
    <row r="412" spans="1:14">
      <c r="A412" s="1" t="s">
        <v>424</v>
      </c>
      <c r="B412">
        <f>HYPERLINK("https://www.suredividend.com/sure-analysis-research-database/","Commvault Systems Inc")</f>
        <v>0</v>
      </c>
      <c r="C412" t="s">
        <v>1920</v>
      </c>
      <c r="D412">
        <v>65.51000000000001</v>
      </c>
      <c r="E412">
        <v>0</v>
      </c>
      <c r="F412" t="s">
        <v>1921</v>
      </c>
      <c r="G412" t="s">
        <v>1921</v>
      </c>
      <c r="H412">
        <v>0</v>
      </c>
      <c r="I412">
        <v>2917.293809</v>
      </c>
      <c r="J412">
        <v>112.0958236073007</v>
      </c>
      <c r="K412">
        <v>0</v>
      </c>
      <c r="L412">
        <v>0.9721522272493651</v>
      </c>
      <c r="M412">
        <v>70.87</v>
      </c>
      <c r="N412">
        <v>50.26</v>
      </c>
    </row>
    <row r="413" spans="1:14">
      <c r="A413" s="1" t="s">
        <v>425</v>
      </c>
      <c r="B413">
        <f>HYPERLINK("https://www.suredividend.com/sure-analysis-research-database/","Cel-Sci Corp.")</f>
        <v>0</v>
      </c>
      <c r="C413" t="s">
        <v>1922</v>
      </c>
      <c r="D413">
        <v>2.6</v>
      </c>
      <c r="E413">
        <v>0</v>
      </c>
      <c r="F413" t="s">
        <v>1921</v>
      </c>
      <c r="G413" t="s">
        <v>1921</v>
      </c>
      <c r="H413">
        <v>0</v>
      </c>
      <c r="I413">
        <v>113.567644</v>
      </c>
      <c r="J413" t="s">
        <v>1921</v>
      </c>
      <c r="K413">
        <v>-0</v>
      </c>
      <c r="L413">
        <v>1.310813675033873</v>
      </c>
      <c r="M413">
        <v>6.69</v>
      </c>
      <c r="N413">
        <v>1.88</v>
      </c>
    </row>
    <row r="414" spans="1:14">
      <c r="A414" s="1" t="s">
        <v>426</v>
      </c>
      <c r="B414">
        <f>HYPERLINK("https://www.suredividend.com/sure-analysis-research-database/","CVRx Inc")</f>
        <v>0</v>
      </c>
      <c r="C414" t="s">
        <v>1921</v>
      </c>
      <c r="D414">
        <v>16</v>
      </c>
      <c r="E414">
        <v>0</v>
      </c>
      <c r="F414" t="s">
        <v>1921</v>
      </c>
      <c r="G414" t="s">
        <v>1921</v>
      </c>
      <c r="H414">
        <v>0</v>
      </c>
      <c r="I414">
        <v>329.346608</v>
      </c>
      <c r="J414">
        <v>0</v>
      </c>
      <c r="K414" t="s">
        <v>1921</v>
      </c>
      <c r="L414">
        <v>1.258206615554173</v>
      </c>
      <c r="M414">
        <v>19.94</v>
      </c>
      <c r="N414">
        <v>4.6</v>
      </c>
    </row>
    <row r="415" spans="1:14">
      <c r="A415" s="1" t="s">
        <v>427</v>
      </c>
      <c r="B415">
        <f>HYPERLINK("https://www.suredividend.com/sure-analysis-CWEN/","Clearway Energy Inc")</f>
        <v>0</v>
      </c>
      <c r="C415" t="s">
        <v>1930</v>
      </c>
      <c r="D415">
        <v>32.65</v>
      </c>
      <c r="E415">
        <v>0.0450229709035222</v>
      </c>
      <c r="F415">
        <v>0.08000000000000007</v>
      </c>
      <c r="G415">
        <v>0.0426469609045983</v>
      </c>
      <c r="H415">
        <v>1.410316548849153</v>
      </c>
      <c r="I415">
        <v>3747.924269</v>
      </c>
      <c r="J415">
        <v>6.668904393594306</v>
      </c>
      <c r="K415">
        <v>0.2938159476769069</v>
      </c>
      <c r="L415">
        <v>0.774208305996908</v>
      </c>
      <c r="M415">
        <v>40.96</v>
      </c>
      <c r="N415">
        <v>29.02</v>
      </c>
    </row>
    <row r="416" spans="1:14">
      <c r="A416" s="1" t="s">
        <v>428</v>
      </c>
      <c r="B416">
        <f>HYPERLINK("https://www.suredividend.com/sure-analysis-research-database/","Clearway Energy Inc")</f>
        <v>0</v>
      </c>
      <c r="C416" t="s">
        <v>1921</v>
      </c>
      <c r="D416">
        <v>29.44</v>
      </c>
      <c r="E416">
        <v>0</v>
      </c>
      <c r="F416" t="s">
        <v>1921</v>
      </c>
      <c r="G416" t="s">
        <v>1921</v>
      </c>
      <c r="H416">
        <v>1.364013877257408</v>
      </c>
      <c r="I416">
        <v>3649.023621</v>
      </c>
      <c r="J416">
        <v>0</v>
      </c>
      <c r="K416" t="s">
        <v>1921</v>
      </c>
      <c r="L416">
        <v>0.740100413721515</v>
      </c>
    </row>
    <row r="417" spans="1:14">
      <c r="A417" s="1" t="s">
        <v>429</v>
      </c>
      <c r="B417">
        <f>HYPERLINK("https://www.suredividend.com/sure-analysis-CWH/","Camping World Holdings Inc")</f>
        <v>0</v>
      </c>
      <c r="C417" t="s">
        <v>1927</v>
      </c>
      <c r="D417">
        <v>24.99</v>
      </c>
      <c r="E417">
        <v>0.1000400160064026</v>
      </c>
      <c r="F417">
        <v>0.25</v>
      </c>
      <c r="G417">
        <v>0.5355847386831107</v>
      </c>
      <c r="H417">
        <v>2.415947287281687</v>
      </c>
      <c r="I417">
        <v>1052.884378</v>
      </c>
      <c r="J417">
        <v>5.333355508547983</v>
      </c>
      <c r="K417">
        <v>0.9256503016404931</v>
      </c>
      <c r="L417">
        <v>1.273425711689917</v>
      </c>
      <c r="M417">
        <v>35.31</v>
      </c>
      <c r="N417">
        <v>19.94</v>
      </c>
    </row>
    <row r="418" spans="1:14">
      <c r="A418" s="1" t="s">
        <v>430</v>
      </c>
      <c r="B418">
        <f>HYPERLINK("https://www.suredividend.com/sure-analysis-research-database/","Cushman &amp; Wakefield plc")</f>
        <v>0</v>
      </c>
      <c r="C418" t="s">
        <v>1929</v>
      </c>
      <c r="D418">
        <v>12.84</v>
      </c>
      <c r="E418">
        <v>0</v>
      </c>
      <c r="F418" t="s">
        <v>1921</v>
      </c>
      <c r="G418" t="s">
        <v>1921</v>
      </c>
      <c r="H418">
        <v>0</v>
      </c>
      <c r="I418">
        <v>2898.715463</v>
      </c>
      <c r="J418">
        <v>9.278858716517284</v>
      </c>
      <c r="K418">
        <v>0</v>
      </c>
      <c r="L418">
        <v>1.228500479634547</v>
      </c>
      <c r="M418">
        <v>23.54</v>
      </c>
      <c r="N418">
        <v>10.04</v>
      </c>
    </row>
    <row r="419" spans="1:14">
      <c r="A419" s="1" t="s">
        <v>431</v>
      </c>
      <c r="B419">
        <f>HYPERLINK("https://www.suredividend.com/sure-analysis-research-database/","Casella Waste Systems, Inc.")</f>
        <v>0</v>
      </c>
      <c r="C419" t="s">
        <v>1924</v>
      </c>
      <c r="D419">
        <v>79.31999999999999</v>
      </c>
      <c r="E419">
        <v>0</v>
      </c>
      <c r="F419" t="s">
        <v>1921</v>
      </c>
      <c r="G419" t="s">
        <v>1921</v>
      </c>
      <c r="H419">
        <v>0</v>
      </c>
      <c r="I419">
        <v>4020.893644</v>
      </c>
      <c r="J419">
        <v>74.73363277066335</v>
      </c>
      <c r="K419">
        <v>0</v>
      </c>
      <c r="L419">
        <v>0.69914483702452</v>
      </c>
      <c r="M419">
        <v>92.75</v>
      </c>
      <c r="N419">
        <v>63.9</v>
      </c>
    </row>
    <row r="420" spans="1:14">
      <c r="A420" s="1" t="s">
        <v>432</v>
      </c>
      <c r="B420">
        <f>HYPERLINK("https://www.suredividend.com/sure-analysis-CWT/","California Water Service Group")</f>
        <v>0</v>
      </c>
      <c r="C420" t="s">
        <v>1930</v>
      </c>
      <c r="D420">
        <v>61.04</v>
      </c>
      <c r="E420">
        <v>0.0163826998689384</v>
      </c>
      <c r="F420">
        <v>0.08695652173913038</v>
      </c>
      <c r="G420">
        <v>0.05922384104881218</v>
      </c>
      <c r="H420">
        <v>0.9935553213534981</v>
      </c>
      <c r="I420">
        <v>3346.45696</v>
      </c>
      <c r="J420">
        <v>41.81816655003499</v>
      </c>
      <c r="K420">
        <v>0.6668156519150994</v>
      </c>
      <c r="L420">
        <v>0.540747438665489</v>
      </c>
      <c r="M420">
        <v>66.12</v>
      </c>
      <c r="N420">
        <v>48.06</v>
      </c>
    </row>
    <row r="421" spans="1:14">
      <c r="A421" s="1" t="s">
        <v>433</v>
      </c>
      <c r="B421">
        <f>HYPERLINK("https://www.suredividend.com/sure-analysis-research-database/","CoreCivic Inc")</f>
        <v>0</v>
      </c>
      <c r="C421" t="s">
        <v>1929</v>
      </c>
      <c r="D421">
        <v>11.36</v>
      </c>
      <c r="E421">
        <v>0</v>
      </c>
      <c r="F421" t="s">
        <v>1921</v>
      </c>
      <c r="G421" t="s">
        <v>1921</v>
      </c>
      <c r="H421">
        <v>0</v>
      </c>
      <c r="I421">
        <v>1306.186034</v>
      </c>
      <c r="J421">
        <v>10.37314195044473</v>
      </c>
      <c r="K421">
        <v>0</v>
      </c>
      <c r="L421">
        <v>0.8157694500684911</v>
      </c>
      <c r="M421">
        <v>14.24</v>
      </c>
      <c r="N421">
        <v>8.390000000000001</v>
      </c>
    </row>
    <row r="422" spans="1:14">
      <c r="A422" s="1" t="s">
        <v>434</v>
      </c>
      <c r="B422">
        <f>HYPERLINK("https://www.suredividend.com/sure-analysis-research-database/","Community Health Systems, Inc.")</f>
        <v>0</v>
      </c>
      <c r="C422" t="s">
        <v>1922</v>
      </c>
      <c r="D422">
        <v>4.57</v>
      </c>
      <c r="E422">
        <v>0</v>
      </c>
      <c r="F422" t="s">
        <v>1921</v>
      </c>
      <c r="G422" t="s">
        <v>1921</v>
      </c>
      <c r="H422">
        <v>0</v>
      </c>
      <c r="I422">
        <v>615.639228</v>
      </c>
      <c r="J422" t="s">
        <v>1921</v>
      </c>
      <c r="K422">
        <v>-0</v>
      </c>
      <c r="L422">
        <v>1.574163965027307</v>
      </c>
      <c r="M422">
        <v>14.74</v>
      </c>
      <c r="N422">
        <v>1.88</v>
      </c>
    </row>
    <row r="423" spans="1:14">
      <c r="A423" s="1" t="s">
        <v>435</v>
      </c>
      <c r="B423">
        <f>HYPERLINK("https://www.suredividend.com/sure-analysis-research-database/","CryoPort Inc")</f>
        <v>0</v>
      </c>
      <c r="C423" t="s">
        <v>1924</v>
      </c>
      <c r="D423">
        <v>19.3</v>
      </c>
      <c r="E423">
        <v>0</v>
      </c>
      <c r="F423" t="s">
        <v>1921</v>
      </c>
      <c r="G423" t="s">
        <v>1921</v>
      </c>
      <c r="H423">
        <v>0</v>
      </c>
      <c r="I423">
        <v>945.696893</v>
      </c>
      <c r="J423">
        <v>0</v>
      </c>
      <c r="K423" t="s">
        <v>1921</v>
      </c>
      <c r="L423">
        <v>2.067456312654503</v>
      </c>
      <c r="M423">
        <v>49.01</v>
      </c>
      <c r="N423">
        <v>15.63</v>
      </c>
    </row>
    <row r="424" spans="1:14">
      <c r="A424" s="1" t="s">
        <v>436</v>
      </c>
      <c r="B424">
        <f>HYPERLINK("https://www.suredividend.com/sure-analysis-research-database/","Cyteir Therapeutics Inc")</f>
        <v>0</v>
      </c>
      <c r="C424" t="s">
        <v>1921</v>
      </c>
      <c r="D424">
        <v>1.53</v>
      </c>
      <c r="E424">
        <v>0</v>
      </c>
      <c r="F424" t="s">
        <v>1921</v>
      </c>
      <c r="G424" t="s">
        <v>1921</v>
      </c>
      <c r="H424">
        <v>0</v>
      </c>
      <c r="I424">
        <v>54.221535</v>
      </c>
      <c r="J424">
        <v>0</v>
      </c>
      <c r="K424" t="s">
        <v>1921</v>
      </c>
      <c r="L424">
        <v>1.483166204650092</v>
      </c>
      <c r="M424">
        <v>8.779999999999999</v>
      </c>
      <c r="N424">
        <v>1.13</v>
      </c>
    </row>
    <row r="425" spans="1:14">
      <c r="A425" s="1" t="s">
        <v>437</v>
      </c>
      <c r="B425">
        <f>HYPERLINK("https://www.suredividend.com/sure-analysis-research-database/","Cytokinetics Inc")</f>
        <v>0</v>
      </c>
      <c r="C425" t="s">
        <v>1922</v>
      </c>
      <c r="D425">
        <v>42.3</v>
      </c>
      <c r="E425">
        <v>0</v>
      </c>
      <c r="F425" t="s">
        <v>1921</v>
      </c>
      <c r="G425" t="s">
        <v>1921</v>
      </c>
      <c r="H425">
        <v>0</v>
      </c>
      <c r="I425">
        <v>4002.891342</v>
      </c>
      <c r="J425" t="s">
        <v>1921</v>
      </c>
      <c r="K425">
        <v>-0</v>
      </c>
      <c r="M425">
        <v>55.8</v>
      </c>
      <c r="N425">
        <v>29.26</v>
      </c>
    </row>
    <row r="426" spans="1:14">
      <c r="A426" s="1" t="s">
        <v>438</v>
      </c>
      <c r="B426">
        <f>HYPERLINK("https://www.suredividend.com/sure-analysis-research-database/","Citizens &amp; Northern Corp")</f>
        <v>0</v>
      </c>
      <c r="C426" t="s">
        <v>1923</v>
      </c>
      <c r="D426">
        <v>22.72</v>
      </c>
      <c r="E426">
        <v>0.048462607173066</v>
      </c>
      <c r="F426">
        <v>0</v>
      </c>
      <c r="G426">
        <v>0.007300045195211657</v>
      </c>
      <c r="H426">
        <v>1.101070434972076</v>
      </c>
      <c r="I426">
        <v>352.169452</v>
      </c>
      <c r="J426">
        <v>13.58364003394276</v>
      </c>
      <c r="K426">
        <v>0.6593236137557341</v>
      </c>
      <c r="L426">
        <v>0.374778131502892</v>
      </c>
      <c r="M426">
        <v>26.28</v>
      </c>
      <c r="N426">
        <v>22.54</v>
      </c>
    </row>
    <row r="427" spans="1:14">
      <c r="A427" s="1" t="s">
        <v>439</v>
      </c>
      <c r="B427">
        <f>HYPERLINK("https://www.suredividend.com/sure-analysis-research-database/","Daktronics Inc.")</f>
        <v>0</v>
      </c>
      <c r="C427" t="s">
        <v>1920</v>
      </c>
      <c r="D427">
        <v>2.99</v>
      </c>
      <c r="E427">
        <v>0</v>
      </c>
      <c r="F427" t="s">
        <v>1921</v>
      </c>
      <c r="G427" t="s">
        <v>1921</v>
      </c>
      <c r="H427">
        <v>0</v>
      </c>
      <c r="I427">
        <v>135.942527</v>
      </c>
      <c r="J427" t="s">
        <v>1921</v>
      </c>
      <c r="K427">
        <v>-0</v>
      </c>
      <c r="L427">
        <v>0.7550122122975711</v>
      </c>
      <c r="M427">
        <v>5.19</v>
      </c>
      <c r="N427">
        <v>1.46</v>
      </c>
    </row>
    <row r="428" spans="1:14">
      <c r="A428" s="1" t="s">
        <v>440</v>
      </c>
      <c r="B428">
        <f>HYPERLINK("https://www.suredividend.com/sure-analysis-research-database/","Dana Inc")</f>
        <v>0</v>
      </c>
      <c r="C428" t="s">
        <v>1927</v>
      </c>
      <c r="D428">
        <v>16.88</v>
      </c>
      <c r="E428">
        <v>0.023340929626121</v>
      </c>
      <c r="F428" t="s">
        <v>1921</v>
      </c>
      <c r="G428" t="s">
        <v>1921</v>
      </c>
      <c r="H428">
        <v>0.393994892088928</v>
      </c>
      <c r="I428">
        <v>2419.806489</v>
      </c>
      <c r="J428" t="s">
        <v>1921</v>
      </c>
      <c r="K428" t="s">
        <v>1921</v>
      </c>
      <c r="L428">
        <v>1.588986051305435</v>
      </c>
      <c r="M428">
        <v>24.76</v>
      </c>
      <c r="N428">
        <v>11.04</v>
      </c>
    </row>
    <row r="429" spans="1:14">
      <c r="A429" s="1" t="s">
        <v>441</v>
      </c>
      <c r="B429">
        <f>HYPERLINK("https://www.suredividend.com/sure-analysis-research-database/","Day One Biopharmaceuticals Inc")</f>
        <v>0</v>
      </c>
      <c r="C429" t="s">
        <v>1921</v>
      </c>
      <c r="D429">
        <v>21.89</v>
      </c>
      <c r="E429">
        <v>0</v>
      </c>
      <c r="F429" t="s">
        <v>1921</v>
      </c>
      <c r="G429" t="s">
        <v>1921</v>
      </c>
      <c r="H429">
        <v>0</v>
      </c>
      <c r="I429">
        <v>1609.999124</v>
      </c>
      <c r="J429">
        <v>0</v>
      </c>
      <c r="K429" t="s">
        <v>1921</v>
      </c>
      <c r="L429">
        <v>0.341432871071765</v>
      </c>
      <c r="M429">
        <v>28.35</v>
      </c>
      <c r="N429">
        <v>5.44</v>
      </c>
    </row>
    <row r="430" spans="1:14">
      <c r="A430" s="1" t="s">
        <v>442</v>
      </c>
      <c r="B430">
        <f>HYPERLINK("https://www.suredividend.com/sure-analysis-research-database/","Diebold Nixdorf Inc")</f>
        <v>0</v>
      </c>
      <c r="C430" t="s">
        <v>1920</v>
      </c>
      <c r="D430">
        <v>1.65</v>
      </c>
      <c r="E430">
        <v>0</v>
      </c>
      <c r="F430" t="s">
        <v>1921</v>
      </c>
      <c r="G430" t="s">
        <v>1921</v>
      </c>
      <c r="H430">
        <v>0</v>
      </c>
      <c r="I430">
        <v>130.478804</v>
      </c>
      <c r="J430" t="s">
        <v>1921</v>
      </c>
      <c r="K430">
        <v>-0</v>
      </c>
      <c r="L430">
        <v>1.987719413594496</v>
      </c>
      <c r="M430">
        <v>11</v>
      </c>
      <c r="N430">
        <v>1.26</v>
      </c>
    </row>
    <row r="431" spans="1:14">
      <c r="A431" s="1" t="s">
        <v>443</v>
      </c>
      <c r="B431">
        <f>HYPERLINK("https://www.suredividend.com/sure-analysis-research-database/","Designer Brands Inc")</f>
        <v>0</v>
      </c>
      <c r="C431" t="s">
        <v>1927</v>
      </c>
      <c r="D431">
        <v>9.09</v>
      </c>
      <c r="E431">
        <v>0.021887127154079</v>
      </c>
      <c r="F431" t="s">
        <v>1921</v>
      </c>
      <c r="G431" t="s">
        <v>1921</v>
      </c>
      <c r="H431">
        <v>0.198953985830579</v>
      </c>
      <c r="I431">
        <v>508.128237</v>
      </c>
      <c r="J431">
        <v>3.850127193677686</v>
      </c>
      <c r="K431">
        <v>0.1117719021520107</v>
      </c>
      <c r="L431">
        <v>1.231108966971975</v>
      </c>
      <c r="M431">
        <v>19.22</v>
      </c>
      <c r="N431">
        <v>9.06</v>
      </c>
    </row>
    <row r="432" spans="1:14">
      <c r="A432" s="1" t="s">
        <v>444</v>
      </c>
      <c r="B432">
        <f>HYPERLINK("https://www.suredividend.com/sure-analysis-research-database/","DigitalBridge Group Inc")</f>
        <v>0</v>
      </c>
      <c r="C432" t="s">
        <v>1921</v>
      </c>
      <c r="D432">
        <v>11.07</v>
      </c>
      <c r="E432">
        <v>0.001805818177691</v>
      </c>
      <c r="F432" t="s">
        <v>1921</v>
      </c>
      <c r="G432" t="s">
        <v>1921</v>
      </c>
      <c r="H432">
        <v>0.01999040722704</v>
      </c>
      <c r="I432">
        <v>1768.197993</v>
      </c>
      <c r="J432" t="s">
        <v>1921</v>
      </c>
      <c r="K432" t="s">
        <v>1921</v>
      </c>
      <c r="L432">
        <v>1.548769503918701</v>
      </c>
      <c r="M432">
        <v>32.39</v>
      </c>
      <c r="N432">
        <v>10.38</v>
      </c>
    </row>
    <row r="433" spans="1:14">
      <c r="A433" s="1" t="s">
        <v>445</v>
      </c>
      <c r="B433">
        <f>HYPERLINK("https://www.suredividend.com/sure-analysis-research-database/","Ducommun Inc.")</f>
        <v>0</v>
      </c>
      <c r="C433" t="s">
        <v>1924</v>
      </c>
      <c r="D433">
        <v>52.5</v>
      </c>
      <c r="E433">
        <v>0</v>
      </c>
      <c r="F433" t="s">
        <v>1921</v>
      </c>
      <c r="G433" t="s">
        <v>1921</v>
      </c>
      <c r="H433">
        <v>0</v>
      </c>
      <c r="I433">
        <v>635.37432</v>
      </c>
      <c r="J433">
        <v>4.830201152483617</v>
      </c>
      <c r="K433">
        <v>0</v>
      </c>
      <c r="L433">
        <v>0.8290591669202361</v>
      </c>
      <c r="M433">
        <v>58.18</v>
      </c>
      <c r="N433">
        <v>38.89</v>
      </c>
    </row>
    <row r="434" spans="1:14">
      <c r="A434" s="1" t="s">
        <v>446</v>
      </c>
      <c r="B434">
        <f>HYPERLINK("https://www.suredividend.com/sure-analysis-research-database/","Dime Community Bancshares Inc")</f>
        <v>0</v>
      </c>
      <c r="C434" t="s">
        <v>1923</v>
      </c>
      <c r="D434">
        <v>32.18</v>
      </c>
      <c r="E434">
        <v>0.029491992404536</v>
      </c>
      <c r="F434">
        <v>0</v>
      </c>
      <c r="G434">
        <v>0.1138241786028789</v>
      </c>
      <c r="H434">
        <v>0.9490523155779741</v>
      </c>
      <c r="I434">
        <v>1241.300604</v>
      </c>
      <c r="J434">
        <v>8.935362827958537</v>
      </c>
      <c r="K434">
        <v>0.2665877290949366</v>
      </c>
      <c r="L434">
        <v>0.8178146996818031</v>
      </c>
      <c r="M434">
        <v>37.34</v>
      </c>
      <c r="N434">
        <v>27.92</v>
      </c>
    </row>
    <row r="435" spans="1:14">
      <c r="A435" s="1" t="s">
        <v>447</v>
      </c>
      <c r="B435">
        <f>HYPERLINK("https://www.suredividend.com/sure-analysis-research-database/","Deciphera Pharmaceuticals Inc")</f>
        <v>0</v>
      </c>
      <c r="C435" t="s">
        <v>1922</v>
      </c>
      <c r="D435">
        <v>20.49</v>
      </c>
      <c r="E435">
        <v>0</v>
      </c>
      <c r="F435" t="s">
        <v>1921</v>
      </c>
      <c r="G435" t="s">
        <v>1921</v>
      </c>
      <c r="H435">
        <v>0</v>
      </c>
      <c r="I435">
        <v>1384.633285</v>
      </c>
      <c r="J435">
        <v>0</v>
      </c>
      <c r="K435" t="s">
        <v>1921</v>
      </c>
      <c r="L435">
        <v>1.419154118938197</v>
      </c>
      <c r="M435">
        <v>22.26</v>
      </c>
      <c r="N435">
        <v>6.51</v>
      </c>
    </row>
    <row r="436" spans="1:14">
      <c r="A436" s="1" t="s">
        <v>448</v>
      </c>
      <c r="B436">
        <f>HYPERLINK("https://www.suredividend.com/sure-analysis-research-database/","3D Systems Corp.")</f>
        <v>0</v>
      </c>
      <c r="C436" t="s">
        <v>1920</v>
      </c>
      <c r="D436">
        <v>8.43</v>
      </c>
      <c r="E436">
        <v>0</v>
      </c>
      <c r="F436" t="s">
        <v>1921</v>
      </c>
      <c r="G436" t="s">
        <v>1921</v>
      </c>
      <c r="H436">
        <v>0</v>
      </c>
      <c r="I436">
        <v>1105.693679</v>
      </c>
      <c r="J436" t="s">
        <v>1921</v>
      </c>
      <c r="K436">
        <v>-0</v>
      </c>
      <c r="L436">
        <v>1.86888729198271</v>
      </c>
      <c r="M436">
        <v>20.88</v>
      </c>
      <c r="N436">
        <v>7.02</v>
      </c>
    </row>
    <row r="437" spans="1:14">
      <c r="A437" s="1" t="s">
        <v>449</v>
      </c>
      <c r="B437">
        <f>HYPERLINK("https://www.suredividend.com/sure-analysis-DDS/","Dillard`s Inc.")</f>
        <v>0</v>
      </c>
      <c r="C437" t="s">
        <v>1927</v>
      </c>
      <c r="D437">
        <v>326.98</v>
      </c>
      <c r="E437">
        <v>0.002446632821579301</v>
      </c>
      <c r="F437">
        <v>0</v>
      </c>
      <c r="G437">
        <v>0.1486983549970351</v>
      </c>
      <c r="H437">
        <v>0.7716368075744</v>
      </c>
      <c r="I437">
        <v>4296.085913</v>
      </c>
      <c r="J437">
        <v>4.650998995746414</v>
      </c>
      <c r="K437">
        <v>0.01512420242207762</v>
      </c>
      <c r="L437">
        <v>1.441051523801855</v>
      </c>
      <c r="M437">
        <v>372.61</v>
      </c>
      <c r="N437">
        <v>183.88</v>
      </c>
    </row>
    <row r="438" spans="1:14">
      <c r="A438" s="1" t="s">
        <v>450</v>
      </c>
      <c r="B438">
        <f>HYPERLINK("https://www.suredividend.com/sure-analysis-DEA/","Easterly Government Properties Inc")</f>
        <v>0</v>
      </c>
      <c r="C438" t="s">
        <v>1929</v>
      </c>
      <c r="D438">
        <v>14.8</v>
      </c>
      <c r="E438">
        <v>0.07162162162162163</v>
      </c>
      <c r="F438">
        <v>0</v>
      </c>
      <c r="G438">
        <v>0.003816904892658401</v>
      </c>
      <c r="H438">
        <v>1.018071061638444</v>
      </c>
      <c r="I438">
        <v>1344.047511</v>
      </c>
      <c r="J438">
        <v>62.40644058132517</v>
      </c>
      <c r="K438">
        <v>4.254371339901563</v>
      </c>
      <c r="L438">
        <v>0.424713906953617</v>
      </c>
      <c r="M438">
        <v>21.25</v>
      </c>
      <c r="N438">
        <v>13.49</v>
      </c>
    </row>
    <row r="439" spans="1:14">
      <c r="A439" s="1" t="s">
        <v>451</v>
      </c>
      <c r="B439">
        <f>HYPERLINK("https://www.suredividend.com/sure-analysis-research-database/","Denbury Inc.")</f>
        <v>0</v>
      </c>
      <c r="C439" t="s">
        <v>1921</v>
      </c>
      <c r="D439">
        <v>82.93000000000001</v>
      </c>
      <c r="E439">
        <v>0</v>
      </c>
      <c r="F439" t="s">
        <v>1921</v>
      </c>
      <c r="G439" t="s">
        <v>1921</v>
      </c>
      <c r="H439">
        <v>0</v>
      </c>
      <c r="I439">
        <v>4129.923371</v>
      </c>
      <c r="J439" t="s">
        <v>1921</v>
      </c>
      <c r="K439">
        <v>-0</v>
      </c>
      <c r="L439">
        <v>0.9778741386052661</v>
      </c>
      <c r="M439">
        <v>104.05</v>
      </c>
      <c r="N439">
        <v>56.59</v>
      </c>
    </row>
    <row r="440" spans="1:14">
      <c r="A440" s="1" t="s">
        <v>452</v>
      </c>
      <c r="B440">
        <f>HYPERLINK("https://www.suredividend.com/sure-analysis-research-database/","Denny`s Corp.")</f>
        <v>0</v>
      </c>
      <c r="C440" t="s">
        <v>1927</v>
      </c>
      <c r="D440">
        <v>11.33</v>
      </c>
      <c r="E440">
        <v>0</v>
      </c>
      <c r="F440" t="s">
        <v>1921</v>
      </c>
      <c r="G440" t="s">
        <v>1921</v>
      </c>
      <c r="H440">
        <v>0</v>
      </c>
      <c r="I440">
        <v>648.452994</v>
      </c>
      <c r="J440">
        <v>6.152538942844131</v>
      </c>
      <c r="K440">
        <v>0</v>
      </c>
      <c r="L440">
        <v>0.9984609457499221</v>
      </c>
      <c r="M440">
        <v>16.97</v>
      </c>
      <c r="N440">
        <v>8.460000000000001</v>
      </c>
    </row>
    <row r="441" spans="1:14">
      <c r="A441" s="1" t="s">
        <v>453</v>
      </c>
      <c r="B441">
        <f>HYPERLINK("https://www.suredividend.com/sure-analysis-research-database/","Donnelley Financial Solutions Inc")</f>
        <v>0</v>
      </c>
      <c r="C441" t="s">
        <v>1923</v>
      </c>
      <c r="D441">
        <v>40.64</v>
      </c>
      <c r="E441">
        <v>0</v>
      </c>
      <c r="F441" t="s">
        <v>1921</v>
      </c>
      <c r="G441" t="s">
        <v>1921</v>
      </c>
      <c r="H441">
        <v>0</v>
      </c>
      <c r="I441">
        <v>1207.668888</v>
      </c>
      <c r="J441">
        <v>10.3043420450512</v>
      </c>
      <c r="K441">
        <v>0</v>
      </c>
      <c r="L441">
        <v>1.3433728458957</v>
      </c>
      <c r="M441">
        <v>44.52</v>
      </c>
      <c r="N441">
        <v>24.6</v>
      </c>
    </row>
    <row r="442" spans="1:14">
      <c r="A442" s="1" t="s">
        <v>454</v>
      </c>
      <c r="B442">
        <f>HYPERLINK("https://www.suredividend.com/sure-analysis-DGICA/","Donegal Group Inc.")</f>
        <v>0</v>
      </c>
      <c r="C442" t="s">
        <v>1923</v>
      </c>
      <c r="D442">
        <v>14.36</v>
      </c>
      <c r="E442">
        <v>0.04596100278551533</v>
      </c>
      <c r="F442">
        <v>0.03125</v>
      </c>
      <c r="G442">
        <v>0.03340648293877924</v>
      </c>
      <c r="H442">
        <v>0.644030862049763</v>
      </c>
      <c r="I442">
        <v>472.599095</v>
      </c>
      <c r="J442" t="s">
        <v>1921</v>
      </c>
      <c r="K442" t="s">
        <v>1921</v>
      </c>
      <c r="L442">
        <v>0.308793525515724</v>
      </c>
      <c r="M442">
        <v>16.75</v>
      </c>
      <c r="N442">
        <v>12.65</v>
      </c>
    </row>
    <row r="443" spans="1:14">
      <c r="A443" s="1" t="s">
        <v>455</v>
      </c>
      <c r="B443">
        <f>HYPERLINK("https://www.suredividend.com/sure-analysis-research-database/","Digi International, Inc.")</f>
        <v>0</v>
      </c>
      <c r="C443" t="s">
        <v>1920</v>
      </c>
      <c r="D443">
        <v>36.38</v>
      </c>
      <c r="E443">
        <v>0</v>
      </c>
      <c r="F443" t="s">
        <v>1921</v>
      </c>
      <c r="G443" t="s">
        <v>1921</v>
      </c>
      <c r="H443">
        <v>0</v>
      </c>
      <c r="I443">
        <v>1297.549198</v>
      </c>
      <c r="J443">
        <v>66.94264036217304</v>
      </c>
      <c r="K443">
        <v>0</v>
      </c>
      <c r="L443">
        <v>1.066280270699043</v>
      </c>
      <c r="M443">
        <v>43.68</v>
      </c>
      <c r="N443">
        <v>18.54</v>
      </c>
    </row>
    <row r="444" spans="1:14">
      <c r="A444" s="1" t="s">
        <v>456</v>
      </c>
      <c r="B444">
        <f>HYPERLINK("https://www.suredividend.com/sure-analysis-DHC/","Diversified Healthcare Trust")</f>
        <v>0</v>
      </c>
      <c r="C444" t="s">
        <v>1929</v>
      </c>
      <c r="D444">
        <v>0.8</v>
      </c>
      <c r="E444">
        <v>0.04946357682984701</v>
      </c>
      <c r="F444">
        <v>0</v>
      </c>
      <c r="G444">
        <v>-0.5193963347123083</v>
      </c>
      <c r="H444">
        <v>0.03957086146387701</v>
      </c>
      <c r="I444">
        <v>191.762928</v>
      </c>
      <c r="J444">
        <v>0.461931303943555</v>
      </c>
      <c r="K444">
        <v>0.02274187440452701</v>
      </c>
      <c r="L444">
        <v>1.340809884361544</v>
      </c>
      <c r="M444">
        <v>3.28</v>
      </c>
      <c r="N444">
        <v>0.61</v>
      </c>
    </row>
    <row r="445" spans="1:14">
      <c r="A445" s="1" t="s">
        <v>457</v>
      </c>
      <c r="B445">
        <f>HYPERLINK("https://www.suredividend.com/sure-analysis-research-database/","Diamond Hill Investment Group, Inc.")</f>
        <v>0</v>
      </c>
      <c r="C445" t="s">
        <v>1923</v>
      </c>
      <c r="D445">
        <v>182.62</v>
      </c>
      <c r="E445">
        <v>0.032460065842388</v>
      </c>
      <c r="F445" t="s">
        <v>1921</v>
      </c>
      <c r="G445" t="s">
        <v>1921</v>
      </c>
      <c r="H445">
        <v>5.927857224136975</v>
      </c>
      <c r="I445">
        <v>550.75544</v>
      </c>
      <c r="J445">
        <v>12.64450471579693</v>
      </c>
      <c r="K445">
        <v>0.4283133832468913</v>
      </c>
      <c r="L445">
        <v>0.683801876293279</v>
      </c>
      <c r="M445">
        <v>206.8</v>
      </c>
      <c r="N445">
        <v>158.78</v>
      </c>
    </row>
    <row r="446" spans="1:14">
      <c r="A446" s="1" t="s">
        <v>458</v>
      </c>
      <c r="B446">
        <f>HYPERLINK("https://www.suredividend.com/sure-analysis-DHT/","DHT Holdings Inc")</f>
        <v>0</v>
      </c>
      <c r="C446" t="s">
        <v>1926</v>
      </c>
      <c r="D446">
        <v>8.300000000000001</v>
      </c>
      <c r="E446">
        <v>0.014388126767946</v>
      </c>
      <c r="F446">
        <v>1</v>
      </c>
      <c r="G446">
        <v>0.1486983549970351</v>
      </c>
      <c r="H446">
        <v>0.119421452173959</v>
      </c>
      <c r="I446">
        <v>1417.626122</v>
      </c>
      <c r="J446" t="s">
        <v>1921</v>
      </c>
      <c r="K446" t="s">
        <v>1921</v>
      </c>
      <c r="L446">
        <v>0.5906567548868491</v>
      </c>
      <c r="M446">
        <v>10.64</v>
      </c>
      <c r="N446">
        <v>4.48</v>
      </c>
    </row>
    <row r="447" spans="1:14">
      <c r="A447" s="1" t="s">
        <v>459</v>
      </c>
      <c r="B447">
        <f>HYPERLINK("https://www.suredividend.com/sure-analysis-research-database/","1stdibs.com Inc")</f>
        <v>0</v>
      </c>
      <c r="C447" t="s">
        <v>1921</v>
      </c>
      <c r="D447">
        <v>5.13</v>
      </c>
      <c r="E447">
        <v>0</v>
      </c>
      <c r="F447" t="s">
        <v>1921</v>
      </c>
      <c r="G447" t="s">
        <v>1921</v>
      </c>
      <c r="H447">
        <v>0</v>
      </c>
      <c r="I447">
        <v>199.714845</v>
      </c>
      <c r="J447">
        <v>0</v>
      </c>
      <c r="K447" t="s">
        <v>1921</v>
      </c>
      <c r="L447">
        <v>1.202203775093872</v>
      </c>
      <c r="M447">
        <v>11.84</v>
      </c>
      <c r="N447">
        <v>4.77</v>
      </c>
    </row>
    <row r="448" spans="1:14">
      <c r="A448" s="1" t="s">
        <v>460</v>
      </c>
      <c r="B448">
        <f>HYPERLINK("https://www.suredividend.com/sure-analysis-research-database/","DICE Therapeutics Inc")</f>
        <v>0</v>
      </c>
      <c r="C448" t="s">
        <v>1921</v>
      </c>
      <c r="D448">
        <v>29.94</v>
      </c>
      <c r="E448">
        <v>0</v>
      </c>
      <c r="F448" t="s">
        <v>1921</v>
      </c>
      <c r="G448" t="s">
        <v>1921</v>
      </c>
      <c r="H448">
        <v>0</v>
      </c>
      <c r="I448">
        <v>1427.275009</v>
      </c>
      <c r="J448">
        <v>0</v>
      </c>
      <c r="K448" t="s">
        <v>1921</v>
      </c>
      <c r="L448">
        <v>1.116853797549761</v>
      </c>
      <c r="M448">
        <v>45.99</v>
      </c>
      <c r="N448">
        <v>12.64</v>
      </c>
    </row>
    <row r="449" spans="1:14">
      <c r="A449" s="1" t="s">
        <v>461</v>
      </c>
      <c r="B449">
        <f>HYPERLINK("https://www.suredividend.com/sure-analysis-research-database/","Dine Brands Global Inc")</f>
        <v>0</v>
      </c>
      <c r="C449" t="s">
        <v>1927</v>
      </c>
      <c r="D449">
        <v>69.39</v>
      </c>
      <c r="E449">
        <v>0.028370382216487</v>
      </c>
      <c r="F449" t="s">
        <v>1921</v>
      </c>
      <c r="G449" t="s">
        <v>1921</v>
      </c>
      <c r="H449">
        <v>1.968620822002097</v>
      </c>
      <c r="I449">
        <v>1087.929797</v>
      </c>
      <c r="J449">
        <v>12.48857584992079</v>
      </c>
      <c r="K449">
        <v>0.3686555846445875</v>
      </c>
      <c r="L449">
        <v>1.145099615430748</v>
      </c>
      <c r="M449">
        <v>81.81</v>
      </c>
      <c r="N449">
        <v>59.68</v>
      </c>
    </row>
    <row r="450" spans="1:14">
      <c r="A450" s="1" t="s">
        <v>462</v>
      </c>
      <c r="B450">
        <f>HYPERLINK("https://www.suredividend.com/sure-analysis-research-database/","Diodes, Inc.")</f>
        <v>0</v>
      </c>
      <c r="C450" t="s">
        <v>1920</v>
      </c>
      <c r="D450">
        <v>82.15000000000001</v>
      </c>
      <c r="E450">
        <v>0</v>
      </c>
      <c r="F450" t="s">
        <v>1921</v>
      </c>
      <c r="G450" t="s">
        <v>1921</v>
      </c>
      <c r="H450">
        <v>0</v>
      </c>
      <c r="I450">
        <v>3735.336923</v>
      </c>
      <c r="J450">
        <v>12.2572541729971</v>
      </c>
      <c r="K450">
        <v>0</v>
      </c>
      <c r="L450">
        <v>1.619869635427191</v>
      </c>
      <c r="M450">
        <v>102.17</v>
      </c>
      <c r="N450">
        <v>58.52</v>
      </c>
    </row>
    <row r="451" spans="1:14">
      <c r="A451" s="1" t="s">
        <v>463</v>
      </c>
      <c r="B451">
        <f>HYPERLINK("https://www.suredividend.com/sure-analysis-research-database/","Daily Journal Corporation")</f>
        <v>0</v>
      </c>
      <c r="C451" t="s">
        <v>1931</v>
      </c>
      <c r="D451">
        <v>289.8</v>
      </c>
      <c r="E451">
        <v>0</v>
      </c>
      <c r="F451" t="s">
        <v>1921</v>
      </c>
      <c r="G451" t="s">
        <v>1921</v>
      </c>
      <c r="H451">
        <v>0</v>
      </c>
      <c r="I451">
        <v>399.062135</v>
      </c>
      <c r="J451">
        <v>0</v>
      </c>
      <c r="K451" t="s">
        <v>1921</v>
      </c>
      <c r="M451">
        <v>385</v>
      </c>
      <c r="N451">
        <v>236.01</v>
      </c>
    </row>
    <row r="452" spans="1:14">
      <c r="A452" s="1" t="s">
        <v>464</v>
      </c>
      <c r="B452">
        <f>HYPERLINK("https://www.suredividend.com/sure-analysis-research-database/","Delek US Holdings Inc")</f>
        <v>0</v>
      </c>
      <c r="C452" t="s">
        <v>1926</v>
      </c>
      <c r="D452">
        <v>24.4</v>
      </c>
      <c r="E452">
        <v>0.016753141597028</v>
      </c>
      <c r="F452" t="s">
        <v>1921</v>
      </c>
      <c r="G452" t="s">
        <v>1921</v>
      </c>
      <c r="H452">
        <v>0.408776654967492</v>
      </c>
      <c r="I452">
        <v>1700.49251</v>
      </c>
      <c r="J452">
        <v>0</v>
      </c>
      <c r="K452" t="s">
        <v>1921</v>
      </c>
      <c r="L452">
        <v>0.722830703294389</v>
      </c>
      <c r="M452">
        <v>35.45</v>
      </c>
      <c r="N452">
        <v>14.4</v>
      </c>
    </row>
    <row r="453" spans="1:14">
      <c r="A453" s="1" t="s">
        <v>465</v>
      </c>
      <c r="B453">
        <f>HYPERLINK("https://www.suredividend.com/sure-analysis-research-database/","Duluth Holdings Inc")</f>
        <v>0</v>
      </c>
      <c r="C453" t="s">
        <v>1927</v>
      </c>
      <c r="D453">
        <v>6.02</v>
      </c>
      <c r="E453">
        <v>0</v>
      </c>
      <c r="F453" t="s">
        <v>1921</v>
      </c>
      <c r="G453" t="s">
        <v>1921</v>
      </c>
      <c r="H453">
        <v>0</v>
      </c>
      <c r="I453">
        <v>180.9522</v>
      </c>
      <c r="J453">
        <v>14.81150856184006</v>
      </c>
      <c r="K453">
        <v>0</v>
      </c>
      <c r="L453">
        <v>1.080205401709413</v>
      </c>
      <c r="M453">
        <v>15.75</v>
      </c>
      <c r="N453">
        <v>5.64</v>
      </c>
    </row>
    <row r="454" spans="1:14">
      <c r="A454" s="1" t="s">
        <v>466</v>
      </c>
      <c r="B454">
        <f>HYPERLINK("https://www.suredividend.com/sure-analysis-research-database/","Deluxe Corp.")</f>
        <v>0</v>
      </c>
      <c r="C454" t="s">
        <v>1931</v>
      </c>
      <c r="D454">
        <v>18.71</v>
      </c>
      <c r="E454">
        <v>0.06279500712444801</v>
      </c>
      <c r="F454">
        <v>0</v>
      </c>
      <c r="G454">
        <v>0</v>
      </c>
      <c r="H454">
        <v>1.174894583298432</v>
      </c>
      <c r="I454">
        <v>807.076599</v>
      </c>
      <c r="J454">
        <v>13.42107922823647</v>
      </c>
      <c r="K454">
        <v>0.8452479016535482</v>
      </c>
      <c r="L454">
        <v>0.9495497828125191</v>
      </c>
      <c r="M454">
        <v>32.23</v>
      </c>
      <c r="N454">
        <v>15.06</v>
      </c>
    </row>
    <row r="455" spans="1:14">
      <c r="A455" s="1" t="s">
        <v>467</v>
      </c>
      <c r="B455">
        <f>HYPERLINK("https://www.suredividend.com/sure-analysis-research-database/","Desktop Metal Inc")</f>
        <v>0</v>
      </c>
      <c r="C455" t="s">
        <v>1921</v>
      </c>
      <c r="D455">
        <v>1.46</v>
      </c>
      <c r="E455">
        <v>0</v>
      </c>
      <c r="F455" t="s">
        <v>1921</v>
      </c>
      <c r="G455" t="s">
        <v>1921</v>
      </c>
      <c r="H455">
        <v>0</v>
      </c>
      <c r="I455">
        <v>463.662573</v>
      </c>
      <c r="J455">
        <v>0</v>
      </c>
      <c r="K455" t="s">
        <v>1921</v>
      </c>
      <c r="L455">
        <v>1.977264284315291</v>
      </c>
      <c r="M455">
        <v>5.28</v>
      </c>
      <c r="N455">
        <v>1.13</v>
      </c>
    </row>
    <row r="456" spans="1:14">
      <c r="A456" s="1" t="s">
        <v>468</v>
      </c>
      <c r="B456">
        <f>HYPERLINK("https://www.suredividend.com/sure-analysis-research-database/","Digimarc Corporation")</f>
        <v>0</v>
      </c>
      <c r="C456" t="s">
        <v>1920</v>
      </c>
      <c r="D456">
        <v>19.39</v>
      </c>
      <c r="E456">
        <v>0</v>
      </c>
      <c r="F456" t="s">
        <v>1921</v>
      </c>
      <c r="G456" t="s">
        <v>1921</v>
      </c>
      <c r="H456">
        <v>0</v>
      </c>
      <c r="I456">
        <v>388.497167</v>
      </c>
      <c r="J456" t="s">
        <v>1921</v>
      </c>
      <c r="K456">
        <v>-0</v>
      </c>
      <c r="L456">
        <v>1.691590887981796</v>
      </c>
      <c r="M456">
        <v>40.13</v>
      </c>
      <c r="N456">
        <v>12.45</v>
      </c>
    </row>
    <row r="457" spans="1:14">
      <c r="A457" s="1" t="s">
        <v>469</v>
      </c>
      <c r="B457">
        <f>HYPERLINK("https://www.suredividend.com/sure-analysis-research-database/","Digital Media Solutions Inc")</f>
        <v>0</v>
      </c>
      <c r="C457" t="s">
        <v>1921</v>
      </c>
      <c r="D457">
        <v>1.315</v>
      </c>
      <c r="E457">
        <v>0</v>
      </c>
      <c r="F457" t="s">
        <v>1921</v>
      </c>
      <c r="G457" t="s">
        <v>1921</v>
      </c>
      <c r="H457">
        <v>0</v>
      </c>
      <c r="I457">
        <v>52.503116</v>
      </c>
      <c r="J457">
        <v>0</v>
      </c>
      <c r="K457" t="s">
        <v>1921</v>
      </c>
      <c r="L457">
        <v>1.423051705325471</v>
      </c>
      <c r="M457">
        <v>5.43</v>
      </c>
      <c r="N457">
        <v>1.05</v>
      </c>
    </row>
    <row r="458" spans="1:14">
      <c r="A458" s="1" t="s">
        <v>470</v>
      </c>
      <c r="B458">
        <f>HYPERLINK("https://www.suredividend.com/sure-analysis-research-database/","DermTech Inc")</f>
        <v>0</v>
      </c>
      <c r="C458" t="s">
        <v>1922</v>
      </c>
      <c r="D458">
        <v>2.18</v>
      </c>
      <c r="E458">
        <v>0</v>
      </c>
      <c r="F458" t="s">
        <v>1921</v>
      </c>
      <c r="G458" t="s">
        <v>1921</v>
      </c>
      <c r="H458">
        <v>0</v>
      </c>
      <c r="I458">
        <v>65.86805699999999</v>
      </c>
      <c r="J458">
        <v>0</v>
      </c>
      <c r="K458" t="s">
        <v>1921</v>
      </c>
      <c r="L458">
        <v>2.002038988186736</v>
      </c>
      <c r="M458">
        <v>16.33</v>
      </c>
      <c r="N458">
        <v>1.55</v>
      </c>
    </row>
    <row r="459" spans="1:14">
      <c r="A459" s="1" t="s">
        <v>471</v>
      </c>
      <c r="B459">
        <f>HYPERLINK("https://www.suredividend.com/sure-analysis-research-database/","Codex DNA Inc")</f>
        <v>0</v>
      </c>
      <c r="C459" t="s">
        <v>1921</v>
      </c>
      <c r="D459">
        <v>1.3</v>
      </c>
      <c r="E459">
        <v>0</v>
      </c>
      <c r="F459" t="s">
        <v>1921</v>
      </c>
      <c r="G459" t="s">
        <v>1921</v>
      </c>
      <c r="H459">
        <v>0</v>
      </c>
      <c r="I459">
        <v>38.378284</v>
      </c>
      <c r="J459">
        <v>0</v>
      </c>
      <c r="K459" t="s">
        <v>1921</v>
      </c>
      <c r="L459">
        <v>1.538677991588856</v>
      </c>
      <c r="M459">
        <v>11.02</v>
      </c>
      <c r="N459">
        <v>1.08</v>
      </c>
    </row>
    <row r="460" spans="1:14">
      <c r="A460" s="1" t="s">
        <v>472</v>
      </c>
      <c r="B460">
        <f>HYPERLINK("https://www.suredividend.com/sure-analysis-research-database/","Denali Therapeutics Inc")</f>
        <v>0</v>
      </c>
      <c r="C460" t="s">
        <v>1922</v>
      </c>
      <c r="D460">
        <v>27.83</v>
      </c>
      <c r="E460">
        <v>0</v>
      </c>
      <c r="F460" t="s">
        <v>1921</v>
      </c>
      <c r="G460" t="s">
        <v>1921</v>
      </c>
      <c r="H460">
        <v>0</v>
      </c>
      <c r="I460">
        <v>3779.69438</v>
      </c>
      <c r="J460" t="s">
        <v>1921</v>
      </c>
      <c r="K460">
        <v>-0</v>
      </c>
      <c r="L460">
        <v>1.662288272524124</v>
      </c>
      <c r="M460">
        <v>42.03</v>
      </c>
      <c r="N460">
        <v>20.24</v>
      </c>
    </row>
    <row r="461" spans="1:14">
      <c r="A461" s="1" t="s">
        <v>473</v>
      </c>
      <c r="B461">
        <f>HYPERLINK("https://www.suredividend.com/sure-analysis-research-database/","Danimer Scientific Inc")</f>
        <v>0</v>
      </c>
      <c r="C461" t="s">
        <v>1921</v>
      </c>
      <c r="D461">
        <v>1.92</v>
      </c>
      <c r="E461">
        <v>0</v>
      </c>
      <c r="F461" t="s">
        <v>1921</v>
      </c>
      <c r="G461" t="s">
        <v>1921</v>
      </c>
      <c r="H461">
        <v>0</v>
      </c>
      <c r="I461">
        <v>194.666252</v>
      </c>
      <c r="J461">
        <v>0</v>
      </c>
      <c r="K461" t="s">
        <v>1921</v>
      </c>
      <c r="L461">
        <v>2.353001330294553</v>
      </c>
      <c r="M461">
        <v>7.73</v>
      </c>
      <c r="N461">
        <v>1.57</v>
      </c>
    </row>
    <row r="462" spans="1:14">
      <c r="A462" s="1" t="s">
        <v>474</v>
      </c>
      <c r="B462">
        <f>HYPERLINK("https://www.suredividend.com/sure-analysis-research-database/","NOW Inc")</f>
        <v>0</v>
      </c>
      <c r="C462" t="s">
        <v>1926</v>
      </c>
      <c r="D462">
        <v>12.69</v>
      </c>
      <c r="E462">
        <v>0</v>
      </c>
      <c r="F462" t="s">
        <v>1921</v>
      </c>
      <c r="G462" t="s">
        <v>1921</v>
      </c>
      <c r="H462">
        <v>0</v>
      </c>
      <c r="I462">
        <v>1401.48044</v>
      </c>
      <c r="J462">
        <v>13.09794803915888</v>
      </c>
      <c r="K462">
        <v>0</v>
      </c>
      <c r="L462">
        <v>0.912739029676025</v>
      </c>
      <c r="M462">
        <v>13.51</v>
      </c>
      <c r="N462">
        <v>8.44</v>
      </c>
    </row>
    <row r="463" spans="1:14">
      <c r="A463" s="1" t="s">
        <v>475</v>
      </c>
      <c r="B463">
        <f>HYPERLINK("https://www.suredividend.com/sure-analysis-research-database/","Krispy Kreme Inc")</f>
        <v>0</v>
      </c>
      <c r="C463" t="s">
        <v>1921</v>
      </c>
      <c r="D463">
        <v>10.97</v>
      </c>
      <c r="E463">
        <v>0.012715685281673</v>
      </c>
      <c r="F463" t="s">
        <v>1921</v>
      </c>
      <c r="G463" t="s">
        <v>1921</v>
      </c>
      <c r="H463">
        <v>0.139491067539953</v>
      </c>
      <c r="I463">
        <v>1836.688473</v>
      </c>
      <c r="J463" t="s">
        <v>1921</v>
      </c>
      <c r="K463" t="s">
        <v>1921</v>
      </c>
      <c r="L463">
        <v>0.9791623695208891</v>
      </c>
      <c r="M463">
        <v>17.82</v>
      </c>
      <c r="N463">
        <v>10.21</v>
      </c>
    </row>
    <row r="464" spans="1:14">
      <c r="A464" s="1" t="s">
        <v>476</v>
      </c>
      <c r="B464">
        <f>HYPERLINK("https://www.suredividend.com/sure-analysis-DOC/","Physicians Realty Trust")</f>
        <v>0</v>
      </c>
      <c r="C464" t="s">
        <v>1929</v>
      </c>
      <c r="D464">
        <v>14.93</v>
      </c>
      <c r="E464">
        <v>0.06162089752176825</v>
      </c>
      <c r="F464">
        <v>0</v>
      </c>
      <c r="G464">
        <v>0</v>
      </c>
      <c r="H464">
        <v>0.909980112426075</v>
      </c>
      <c r="I464">
        <v>3407.93464</v>
      </c>
      <c r="J464">
        <v>28.34394843265272</v>
      </c>
      <c r="K464">
        <v>1.788834504474297</v>
      </c>
      <c r="L464">
        <v>0.5182930222066691</v>
      </c>
      <c r="M464">
        <v>18.29</v>
      </c>
      <c r="N464">
        <v>13.42</v>
      </c>
    </row>
    <row r="465" spans="1:14">
      <c r="A465" s="1" t="s">
        <v>477</v>
      </c>
      <c r="B465">
        <f>HYPERLINK("https://www.suredividend.com/sure-analysis-research-database/","DigitalOcean Holdings Inc")</f>
        <v>0</v>
      </c>
      <c r="C465" t="s">
        <v>1921</v>
      </c>
      <c r="D465">
        <v>25.24</v>
      </c>
      <c r="E465">
        <v>0</v>
      </c>
      <c r="F465" t="s">
        <v>1921</v>
      </c>
      <c r="G465" t="s">
        <v>1921</v>
      </c>
      <c r="H465">
        <v>0</v>
      </c>
      <c r="I465">
        <v>2430.538754</v>
      </c>
      <c r="J465">
        <v>0</v>
      </c>
      <c r="K465" t="s">
        <v>1921</v>
      </c>
      <c r="L465">
        <v>2.288914575986733</v>
      </c>
      <c r="M465">
        <v>78.79000000000001</v>
      </c>
      <c r="N465">
        <v>23.38</v>
      </c>
    </row>
    <row r="466" spans="1:14">
      <c r="A466" s="1" t="s">
        <v>478</v>
      </c>
      <c r="B466">
        <f>HYPERLINK("https://www.suredividend.com/sure-analysis-research-database/","Domo Inc.")</f>
        <v>0</v>
      </c>
      <c r="C466" t="s">
        <v>1920</v>
      </c>
      <c r="D466">
        <v>12.78</v>
      </c>
      <c r="E466">
        <v>0</v>
      </c>
      <c r="F466" t="s">
        <v>1921</v>
      </c>
      <c r="G466" t="s">
        <v>1921</v>
      </c>
      <c r="H466">
        <v>0</v>
      </c>
      <c r="I466">
        <v>399.775103</v>
      </c>
      <c r="J466" t="s">
        <v>1921</v>
      </c>
      <c r="K466">
        <v>-0</v>
      </c>
      <c r="L466">
        <v>2.248516275973164</v>
      </c>
      <c r="M466">
        <v>57.41</v>
      </c>
      <c r="N466">
        <v>12.07</v>
      </c>
    </row>
    <row r="467" spans="1:14">
      <c r="A467" s="1" t="s">
        <v>479</v>
      </c>
      <c r="B467">
        <f>HYPERLINK("https://www.suredividend.com/sure-analysis-research-database/","Masonite International Corp")</f>
        <v>0</v>
      </c>
      <c r="C467" t="s">
        <v>1924</v>
      </c>
      <c r="D467">
        <v>86.83</v>
      </c>
      <c r="E467">
        <v>0</v>
      </c>
      <c r="F467" t="s">
        <v>1921</v>
      </c>
      <c r="G467" t="s">
        <v>1921</v>
      </c>
      <c r="H467">
        <v>0</v>
      </c>
      <c r="I467">
        <v>1934.22864</v>
      </c>
      <c r="J467">
        <v>12.24838769752465</v>
      </c>
      <c r="K467">
        <v>0</v>
      </c>
      <c r="L467">
        <v>1.221612653345592</v>
      </c>
      <c r="M467">
        <v>115.13</v>
      </c>
      <c r="N467">
        <v>65.70999999999999</v>
      </c>
    </row>
    <row r="468" spans="1:14">
      <c r="A468" s="1" t="s">
        <v>480</v>
      </c>
      <c r="B468">
        <f>HYPERLINK("https://www.suredividend.com/sure-analysis-research-database/","Dorman Products Inc")</f>
        <v>0</v>
      </c>
      <c r="C468" t="s">
        <v>1927</v>
      </c>
      <c r="D468">
        <v>84.25</v>
      </c>
      <c r="E468">
        <v>0</v>
      </c>
      <c r="F468" t="s">
        <v>1921</v>
      </c>
      <c r="G468" t="s">
        <v>1921</v>
      </c>
      <c r="H468">
        <v>0</v>
      </c>
      <c r="I468">
        <v>2647.014944</v>
      </c>
      <c r="J468">
        <v>19.21008283258221</v>
      </c>
      <c r="K468">
        <v>0</v>
      </c>
      <c r="L468">
        <v>0.648208345968008</v>
      </c>
      <c r="M468">
        <v>119.04</v>
      </c>
      <c r="N468">
        <v>73.31999999999999</v>
      </c>
    </row>
    <row r="469" spans="1:14">
      <c r="A469" s="1" t="s">
        <v>481</v>
      </c>
      <c r="B469">
        <f>HYPERLINK("https://www.suredividend.com/sure-analysis-research-database/","Douglas Elliman Inc")</f>
        <v>0</v>
      </c>
      <c r="C469" t="s">
        <v>1921</v>
      </c>
      <c r="D469">
        <v>4.25</v>
      </c>
      <c r="E469">
        <v>0.04625581714144501</v>
      </c>
      <c r="F469" t="s">
        <v>1921</v>
      </c>
      <c r="G469" t="s">
        <v>1921</v>
      </c>
      <c r="H469">
        <v>0.196587222851144</v>
      </c>
      <c r="I469">
        <v>345.304693</v>
      </c>
      <c r="J469">
        <v>0</v>
      </c>
      <c r="K469" t="s">
        <v>1921</v>
      </c>
      <c r="L469">
        <v>1.341033337509991</v>
      </c>
      <c r="M469">
        <v>10.24</v>
      </c>
      <c r="N469">
        <v>3.46</v>
      </c>
    </row>
    <row r="470" spans="1:14">
      <c r="A470" s="1" t="s">
        <v>482</v>
      </c>
      <c r="B470">
        <f>HYPERLINK("https://www.suredividend.com/sure-analysis-research-database/","Diamondrock Hospitality Co.")</f>
        <v>0</v>
      </c>
      <c r="C470" t="s">
        <v>1929</v>
      </c>
      <c r="D470">
        <v>8.02</v>
      </c>
      <c r="E470">
        <v>0.007467287988543</v>
      </c>
      <c r="F470" t="s">
        <v>1921</v>
      </c>
      <c r="G470" t="s">
        <v>1921</v>
      </c>
      <c r="H470">
        <v>0.05988764966811801</v>
      </c>
      <c r="I470">
        <v>1691.60258</v>
      </c>
      <c r="J470">
        <v>22.31930678180787</v>
      </c>
      <c r="K470">
        <v>0.1684603366191786</v>
      </c>
      <c r="L470">
        <v>1.247228200018844</v>
      </c>
      <c r="M470">
        <v>11.06</v>
      </c>
      <c r="N470">
        <v>7.15</v>
      </c>
    </row>
    <row r="471" spans="1:14">
      <c r="A471" s="1" t="s">
        <v>483</v>
      </c>
      <c r="B471">
        <f>HYPERLINK("https://www.suredividend.com/sure-analysis-research-database/","DarioHealth Corp")</f>
        <v>0</v>
      </c>
      <c r="C471" t="s">
        <v>1922</v>
      </c>
      <c r="D471">
        <v>4.8</v>
      </c>
      <c r="E471">
        <v>0</v>
      </c>
      <c r="F471" t="s">
        <v>1921</v>
      </c>
      <c r="G471" t="s">
        <v>1921</v>
      </c>
      <c r="H471">
        <v>0</v>
      </c>
      <c r="I471">
        <v>123.261168</v>
      </c>
      <c r="J471">
        <v>0</v>
      </c>
      <c r="K471" t="s">
        <v>1921</v>
      </c>
      <c r="L471">
        <v>1.290039220862306</v>
      </c>
      <c r="M471">
        <v>11.33</v>
      </c>
      <c r="N471">
        <v>3.53</v>
      </c>
    </row>
    <row r="472" spans="1:14">
      <c r="A472" s="1" t="s">
        <v>484</v>
      </c>
      <c r="B472">
        <f>HYPERLINK("https://www.suredividend.com/sure-analysis-research-database/","Dril-Quip, Inc.")</f>
        <v>0</v>
      </c>
      <c r="C472" t="s">
        <v>1926</v>
      </c>
      <c r="D472">
        <v>28.27</v>
      </c>
      <c r="E472">
        <v>0</v>
      </c>
      <c r="F472" t="s">
        <v>1921</v>
      </c>
      <c r="G472" t="s">
        <v>1921</v>
      </c>
      <c r="H472">
        <v>0</v>
      </c>
      <c r="I472">
        <v>958.910654</v>
      </c>
      <c r="J472" t="s">
        <v>1921</v>
      </c>
      <c r="K472">
        <v>-0</v>
      </c>
      <c r="L472">
        <v>0.6950775166800921</v>
      </c>
      <c r="M472">
        <v>41.23</v>
      </c>
      <c r="N472">
        <v>19.1</v>
      </c>
    </row>
    <row r="473" spans="1:14">
      <c r="A473" s="1" t="s">
        <v>485</v>
      </c>
      <c r="B473">
        <f>HYPERLINK("https://www.suredividend.com/sure-analysis-research-database/","Durect Corp")</f>
        <v>0</v>
      </c>
      <c r="C473" t="s">
        <v>1922</v>
      </c>
      <c r="D473">
        <v>5.95</v>
      </c>
      <c r="E473">
        <v>0</v>
      </c>
      <c r="F473" t="s">
        <v>1921</v>
      </c>
      <c r="G473" t="s">
        <v>1921</v>
      </c>
      <c r="H473">
        <v>0</v>
      </c>
      <c r="I473">
        <v>1355.766036</v>
      </c>
      <c r="J473" t="s">
        <v>1921</v>
      </c>
      <c r="K473">
        <v>-0</v>
      </c>
      <c r="L473">
        <v>1.006257789363359</v>
      </c>
      <c r="M473">
        <v>9.699999999999999</v>
      </c>
      <c r="N473">
        <v>3.17</v>
      </c>
    </row>
    <row r="474" spans="1:14">
      <c r="A474" s="1" t="s">
        <v>486</v>
      </c>
      <c r="B474">
        <f>HYPERLINK("https://www.suredividend.com/sure-analysis-research-database/","Drive Shack Inc")</f>
        <v>0</v>
      </c>
      <c r="C474" t="s">
        <v>1927</v>
      </c>
      <c r="D474">
        <v>0.1676</v>
      </c>
      <c r="E474">
        <v>0</v>
      </c>
      <c r="F474" t="s">
        <v>1921</v>
      </c>
      <c r="G474" t="s">
        <v>1921</v>
      </c>
      <c r="H474">
        <v>0</v>
      </c>
      <c r="I474">
        <v>15.483729</v>
      </c>
      <c r="J474" t="s">
        <v>1921</v>
      </c>
      <c r="K474">
        <v>-0</v>
      </c>
      <c r="L474">
        <v>1.713836496101323</v>
      </c>
      <c r="M474">
        <v>1.97</v>
      </c>
      <c r="N474">
        <v>0.153</v>
      </c>
    </row>
    <row r="475" spans="1:14">
      <c r="A475" s="1" t="s">
        <v>487</v>
      </c>
      <c r="B475">
        <f>HYPERLINK("https://www.suredividend.com/sure-analysis-research-database/","Design Therapeutics Inc")</f>
        <v>0</v>
      </c>
      <c r="C475" t="s">
        <v>1921</v>
      </c>
      <c r="D475">
        <v>9.039999999999999</v>
      </c>
      <c r="E475">
        <v>0</v>
      </c>
      <c r="F475" t="s">
        <v>1921</v>
      </c>
      <c r="G475" t="s">
        <v>1921</v>
      </c>
      <c r="H475">
        <v>0</v>
      </c>
      <c r="I475">
        <v>505.427042</v>
      </c>
      <c r="J475">
        <v>0</v>
      </c>
      <c r="K475" t="s">
        <v>1921</v>
      </c>
      <c r="L475">
        <v>1.557819854884161</v>
      </c>
      <c r="M475">
        <v>26.3</v>
      </c>
      <c r="N475">
        <v>6.94</v>
      </c>
    </row>
    <row r="476" spans="1:14">
      <c r="A476" s="1" t="s">
        <v>488</v>
      </c>
      <c r="B476">
        <f>HYPERLINK("https://www.suredividend.com/sure-analysis-research-database/","Daseke Inc")</f>
        <v>0</v>
      </c>
      <c r="C476" t="s">
        <v>1924</v>
      </c>
      <c r="D476">
        <v>5.83</v>
      </c>
      <c r="E476">
        <v>0</v>
      </c>
      <c r="F476" t="s">
        <v>1921</v>
      </c>
      <c r="G476" t="s">
        <v>1921</v>
      </c>
      <c r="H476">
        <v>0</v>
      </c>
      <c r="I476">
        <v>366.169567</v>
      </c>
      <c r="J476">
        <v>8.083213405739514</v>
      </c>
      <c r="K476">
        <v>0</v>
      </c>
      <c r="L476">
        <v>1.334169559946068</v>
      </c>
      <c r="M476">
        <v>13.17</v>
      </c>
      <c r="N476">
        <v>4.69</v>
      </c>
    </row>
    <row r="477" spans="1:14">
      <c r="A477" s="1" t="s">
        <v>489</v>
      </c>
      <c r="B477">
        <f>HYPERLINK("https://www.suredividend.com/sure-analysis-research-database/","Viant Technology Inc")</f>
        <v>0</v>
      </c>
      <c r="C477" t="s">
        <v>1921</v>
      </c>
      <c r="D477">
        <v>3.88</v>
      </c>
      <c r="E477">
        <v>0</v>
      </c>
      <c r="F477" t="s">
        <v>1921</v>
      </c>
      <c r="G477" t="s">
        <v>1921</v>
      </c>
      <c r="H477">
        <v>0</v>
      </c>
      <c r="I477">
        <v>56.105126</v>
      </c>
      <c r="J477">
        <v>0</v>
      </c>
      <c r="K477" t="s">
        <v>1921</v>
      </c>
      <c r="L477">
        <v>1.106189549253587</v>
      </c>
      <c r="M477">
        <v>9.23</v>
      </c>
      <c r="N477">
        <v>3.15</v>
      </c>
    </row>
    <row r="478" spans="1:14">
      <c r="A478" s="1" t="s">
        <v>490</v>
      </c>
      <c r="B478">
        <f>HYPERLINK("https://www.suredividend.com/sure-analysis-research-database/","Solo Brands Inc")</f>
        <v>0</v>
      </c>
      <c r="C478" t="s">
        <v>1921</v>
      </c>
      <c r="D478">
        <v>4.03</v>
      </c>
      <c r="E478">
        <v>0</v>
      </c>
      <c r="F478" t="s">
        <v>1921</v>
      </c>
      <c r="G478" t="s">
        <v>1921</v>
      </c>
      <c r="H478">
        <v>0</v>
      </c>
      <c r="I478">
        <v>256.273612</v>
      </c>
      <c r="J478">
        <v>0</v>
      </c>
      <c r="K478" t="s">
        <v>1921</v>
      </c>
      <c r="L478">
        <v>1.76151891922308</v>
      </c>
      <c r="M478">
        <v>17.45</v>
      </c>
      <c r="N478">
        <v>3.39</v>
      </c>
    </row>
    <row r="479" spans="1:14">
      <c r="A479" s="1" t="s">
        <v>491</v>
      </c>
      <c r="B479">
        <f>HYPERLINK("https://www.suredividend.com/sure-analysis-research-database/","Precision Biosciences Inc")</f>
        <v>0</v>
      </c>
      <c r="C479" t="s">
        <v>1922</v>
      </c>
      <c r="D479">
        <v>1.25</v>
      </c>
      <c r="E479">
        <v>0</v>
      </c>
      <c r="F479" t="s">
        <v>1921</v>
      </c>
      <c r="G479" t="s">
        <v>1921</v>
      </c>
      <c r="H479">
        <v>0</v>
      </c>
      <c r="I479">
        <v>138.698694</v>
      </c>
      <c r="J479">
        <v>0</v>
      </c>
      <c r="K479" t="s">
        <v>1921</v>
      </c>
      <c r="L479">
        <v>1.848762462263381</v>
      </c>
      <c r="M479">
        <v>6.7</v>
      </c>
      <c r="N479">
        <v>0.9500000000000001</v>
      </c>
    </row>
    <row r="480" spans="1:14">
      <c r="A480" s="1" t="s">
        <v>492</v>
      </c>
      <c r="B480">
        <f>HYPERLINK("https://www.suredividend.com/sure-analysis-research-database/","Dynavax Technologies Corp.")</f>
        <v>0</v>
      </c>
      <c r="C480" t="s">
        <v>1922</v>
      </c>
      <c r="D480">
        <v>10.27</v>
      </c>
      <c r="E480">
        <v>0</v>
      </c>
      <c r="F480" t="s">
        <v>1921</v>
      </c>
      <c r="G480" t="s">
        <v>1921</v>
      </c>
      <c r="H480">
        <v>0</v>
      </c>
      <c r="I480">
        <v>1310.296707</v>
      </c>
      <c r="J480">
        <v>4.083129609479441</v>
      </c>
      <c r="K480">
        <v>0</v>
      </c>
      <c r="L480">
        <v>1.428859156078667</v>
      </c>
      <c r="M480">
        <v>17.48</v>
      </c>
      <c r="N480">
        <v>7.26</v>
      </c>
    </row>
    <row r="481" spans="1:14">
      <c r="A481" s="1" t="s">
        <v>493</v>
      </c>
      <c r="B481">
        <f>HYPERLINK("https://www.suredividend.com/sure-analysis-DX/","Dynex Capital, Inc.")</f>
        <v>0</v>
      </c>
      <c r="C481" t="s">
        <v>1929</v>
      </c>
      <c r="D481">
        <v>13.9</v>
      </c>
      <c r="E481">
        <v>0.1122302158273381</v>
      </c>
      <c r="F481">
        <v>0</v>
      </c>
      <c r="G481">
        <v>0</v>
      </c>
      <c r="H481">
        <v>1.48275866364188</v>
      </c>
      <c r="I481">
        <v>644.266807</v>
      </c>
      <c r="J481">
        <v>6.064486680597914</v>
      </c>
      <c r="K481">
        <v>0.5553403234613783</v>
      </c>
      <c r="L481">
        <v>0.6911793724966311</v>
      </c>
      <c r="M481">
        <v>16.25</v>
      </c>
      <c r="N481">
        <v>10.38</v>
      </c>
    </row>
    <row r="482" spans="1:14">
      <c r="A482" s="1" t="s">
        <v>494</v>
      </c>
      <c r="B482">
        <f>HYPERLINK("https://www.suredividend.com/sure-analysis-research-database/","DXP Enterprises, Inc.")</f>
        <v>0</v>
      </c>
      <c r="C482" t="s">
        <v>1924</v>
      </c>
      <c r="D482">
        <v>28.74</v>
      </c>
      <c r="E482">
        <v>0</v>
      </c>
      <c r="F482" t="s">
        <v>1921</v>
      </c>
      <c r="G482" t="s">
        <v>1921</v>
      </c>
      <c r="H482">
        <v>0</v>
      </c>
      <c r="I482">
        <v>539.297852</v>
      </c>
      <c r="J482">
        <v>12.90309722509331</v>
      </c>
      <c r="K482">
        <v>0</v>
      </c>
      <c r="L482">
        <v>0.7217751760828791</v>
      </c>
      <c r="M482">
        <v>34.74</v>
      </c>
      <c r="N482">
        <v>22.09</v>
      </c>
    </row>
    <row r="483" spans="1:14">
      <c r="A483" s="1" t="s">
        <v>495</v>
      </c>
      <c r="B483">
        <f>HYPERLINK("https://www.suredividend.com/sure-analysis-research-database/","Dycom Industries, Inc.")</f>
        <v>0</v>
      </c>
      <c r="C483" t="s">
        <v>1924</v>
      </c>
      <c r="D483">
        <v>95.09</v>
      </c>
      <c r="E483">
        <v>0</v>
      </c>
      <c r="F483" t="s">
        <v>1921</v>
      </c>
      <c r="G483" t="s">
        <v>1921</v>
      </c>
      <c r="H483">
        <v>0</v>
      </c>
      <c r="I483">
        <v>2801.149904</v>
      </c>
      <c r="J483">
        <v>23.69879274006328</v>
      </c>
      <c r="K483">
        <v>0</v>
      </c>
      <c r="L483">
        <v>0.9651773800250341</v>
      </c>
      <c r="M483">
        <v>122.13</v>
      </c>
      <c r="N483">
        <v>76.20999999999999</v>
      </c>
    </row>
    <row r="484" spans="1:14">
      <c r="A484" s="1" t="s">
        <v>496</v>
      </c>
      <c r="B484">
        <f>HYPERLINK("https://www.suredividend.com/sure-analysis-research-database/","Dyne Therapeutics Inc")</f>
        <v>0</v>
      </c>
      <c r="C484" t="s">
        <v>1921</v>
      </c>
      <c r="D484">
        <v>11.45</v>
      </c>
      <c r="E484">
        <v>0</v>
      </c>
      <c r="F484" t="s">
        <v>1921</v>
      </c>
      <c r="G484" t="s">
        <v>1921</v>
      </c>
      <c r="H484">
        <v>0</v>
      </c>
      <c r="I484">
        <v>596.8529129999999</v>
      </c>
      <c r="J484">
        <v>0</v>
      </c>
      <c r="K484" t="s">
        <v>1921</v>
      </c>
      <c r="L484">
        <v>1.450412620270439</v>
      </c>
      <c r="M484">
        <v>15.63</v>
      </c>
      <c r="N484">
        <v>4.3</v>
      </c>
    </row>
    <row r="485" spans="1:14">
      <c r="A485" s="1" t="s">
        <v>497</v>
      </c>
      <c r="B485">
        <f>HYPERLINK("https://www.suredividend.com/sure-analysis-research-database/","DZS Inc")</f>
        <v>0</v>
      </c>
      <c r="C485" t="s">
        <v>1920</v>
      </c>
      <c r="D485">
        <v>13.14</v>
      </c>
      <c r="E485">
        <v>0</v>
      </c>
      <c r="F485" t="s">
        <v>1921</v>
      </c>
      <c r="G485" t="s">
        <v>1921</v>
      </c>
      <c r="H485">
        <v>0</v>
      </c>
      <c r="I485">
        <v>367.303077</v>
      </c>
      <c r="J485" t="s">
        <v>1921</v>
      </c>
      <c r="K485">
        <v>-0</v>
      </c>
      <c r="L485">
        <v>1.186842738541948</v>
      </c>
      <c r="M485">
        <v>19.95</v>
      </c>
      <c r="N485">
        <v>10.59</v>
      </c>
    </row>
    <row r="486" spans="1:14">
      <c r="A486" s="1" t="s">
        <v>498</v>
      </c>
      <c r="B486">
        <f>HYPERLINK("https://www.suredividend.com/sure-analysis-EAF/","GrafTech International Ltd.")</f>
        <v>0</v>
      </c>
      <c r="C486" t="s">
        <v>1924</v>
      </c>
      <c r="D486">
        <v>5.37</v>
      </c>
      <c r="E486">
        <v>0.007429718078088001</v>
      </c>
      <c r="F486">
        <v>0</v>
      </c>
      <c r="G486">
        <v>-0.3112080591146164</v>
      </c>
      <c r="H486">
        <v>0.039897586079337</v>
      </c>
      <c r="I486">
        <v>1377.927727</v>
      </c>
      <c r="J486">
        <v>2.906339921537361</v>
      </c>
      <c r="K486">
        <v>0.02192175059304231</v>
      </c>
      <c r="L486">
        <v>1.109565730906182</v>
      </c>
      <c r="M486">
        <v>11.99</v>
      </c>
      <c r="N486">
        <v>4.06</v>
      </c>
    </row>
    <row r="487" spans="1:14">
      <c r="A487" s="1" t="s">
        <v>499</v>
      </c>
      <c r="B487">
        <f>HYPERLINK("https://www.suredividend.com/sure-analysis-research-database/","Eargo Inc")</f>
        <v>0</v>
      </c>
      <c r="C487" t="s">
        <v>1921</v>
      </c>
      <c r="D487">
        <v>0.6284000000000001</v>
      </c>
      <c r="E487">
        <v>0</v>
      </c>
      <c r="F487" t="s">
        <v>1921</v>
      </c>
      <c r="G487" t="s">
        <v>1921</v>
      </c>
      <c r="H487">
        <v>0</v>
      </c>
      <c r="I487">
        <v>24.765916</v>
      </c>
      <c r="J487">
        <v>0</v>
      </c>
      <c r="K487" t="s">
        <v>1921</v>
      </c>
      <c r="L487">
        <v>2.144980303732938</v>
      </c>
      <c r="M487">
        <v>6.19</v>
      </c>
      <c r="N487">
        <v>0.48</v>
      </c>
    </row>
    <row r="488" spans="1:14">
      <c r="A488" s="1" t="s">
        <v>500</v>
      </c>
      <c r="B488">
        <f>HYPERLINK("https://www.suredividend.com/sure-analysis-research-database/","Brinker International, Inc.")</f>
        <v>0</v>
      </c>
      <c r="C488" t="s">
        <v>1927</v>
      </c>
      <c r="D488">
        <v>36.62</v>
      </c>
      <c r="E488">
        <v>0</v>
      </c>
      <c r="F488" t="s">
        <v>1921</v>
      </c>
      <c r="G488" t="s">
        <v>1921</v>
      </c>
      <c r="H488">
        <v>0</v>
      </c>
      <c r="I488">
        <v>1612.438217</v>
      </c>
      <c r="J488">
        <v>21.73097327978437</v>
      </c>
      <c r="K488">
        <v>0</v>
      </c>
      <c r="L488">
        <v>1.528827026993875</v>
      </c>
      <c r="M488">
        <v>44.03</v>
      </c>
      <c r="N488">
        <v>21.47</v>
      </c>
    </row>
    <row r="489" spans="1:14">
      <c r="A489" s="1" t="s">
        <v>501</v>
      </c>
      <c r="B489">
        <f>HYPERLINK("https://www.suredividend.com/sure-analysis-research-database/","Eventbrite Inc")</f>
        <v>0</v>
      </c>
      <c r="C489" t="s">
        <v>1920</v>
      </c>
      <c r="D489">
        <v>5.87</v>
      </c>
      <c r="E489">
        <v>0</v>
      </c>
      <c r="F489" t="s">
        <v>1921</v>
      </c>
      <c r="G489" t="s">
        <v>1921</v>
      </c>
      <c r="H489">
        <v>0</v>
      </c>
      <c r="I489">
        <v>475.763441</v>
      </c>
      <c r="J489" t="s">
        <v>1921</v>
      </c>
      <c r="K489">
        <v>-0</v>
      </c>
      <c r="L489">
        <v>1.691452068211479</v>
      </c>
      <c r="M489">
        <v>17.76</v>
      </c>
      <c r="N489">
        <v>5.3</v>
      </c>
    </row>
    <row r="490" spans="1:14">
      <c r="A490" s="1" t="s">
        <v>502</v>
      </c>
      <c r="B490">
        <f>HYPERLINK("https://www.suredividend.com/sure-analysis-research-database/","Eastern Bankshares Inc.")</f>
        <v>0</v>
      </c>
      <c r="C490" t="s">
        <v>1921</v>
      </c>
      <c r="D490">
        <v>17.6</v>
      </c>
      <c r="E490">
        <v>0.022552797643075</v>
      </c>
      <c r="F490" t="s">
        <v>1921</v>
      </c>
      <c r="G490" t="s">
        <v>1921</v>
      </c>
      <c r="H490">
        <v>0.396929238518121</v>
      </c>
      <c r="I490">
        <v>3109.54167</v>
      </c>
      <c r="J490">
        <v>16.14910086833687</v>
      </c>
      <c r="K490">
        <v>0.3481835425597553</v>
      </c>
      <c r="L490">
        <v>0.607809412676388</v>
      </c>
      <c r="M490">
        <v>22.01</v>
      </c>
      <c r="N490">
        <v>16.64</v>
      </c>
    </row>
    <row r="491" spans="1:14">
      <c r="A491" s="1" t="s">
        <v>503</v>
      </c>
      <c r="B491">
        <f>HYPERLINK("https://www.suredividend.com/sure-analysis-research-database/","EBET Inc")</f>
        <v>0</v>
      </c>
      <c r="C491" t="s">
        <v>1921</v>
      </c>
      <c r="D491">
        <v>0.5466</v>
      </c>
      <c r="E491">
        <v>0</v>
      </c>
      <c r="F491" t="s">
        <v>1921</v>
      </c>
      <c r="G491" t="s">
        <v>1921</v>
      </c>
      <c r="H491">
        <v>0</v>
      </c>
      <c r="I491">
        <v>8.949457000000001</v>
      </c>
      <c r="J491">
        <v>0</v>
      </c>
      <c r="K491" t="s">
        <v>1921</v>
      </c>
      <c r="L491">
        <v>1.563787595336142</v>
      </c>
      <c r="M491">
        <v>16.29</v>
      </c>
      <c r="N491">
        <v>0.412</v>
      </c>
    </row>
    <row r="492" spans="1:14">
      <c r="A492" s="1" t="s">
        <v>504</v>
      </c>
      <c r="B492">
        <f>HYPERLINK("https://www.suredividend.com/sure-analysis-research-database/","Ennis Inc.")</f>
        <v>0</v>
      </c>
      <c r="C492" t="s">
        <v>1924</v>
      </c>
      <c r="D492">
        <v>21.68</v>
      </c>
      <c r="E492">
        <v>0.045331906936516</v>
      </c>
      <c r="F492">
        <v>0</v>
      </c>
      <c r="G492">
        <v>0.04563955259127317</v>
      </c>
      <c r="H492">
        <v>0.9827957423836831</v>
      </c>
      <c r="I492">
        <v>560.132979</v>
      </c>
      <c r="J492">
        <v>14.72522880622519</v>
      </c>
      <c r="K492">
        <v>0.6731477687559473</v>
      </c>
      <c r="L492">
        <v>0.501222521113273</v>
      </c>
      <c r="M492">
        <v>23.22</v>
      </c>
      <c r="N492">
        <v>15.97</v>
      </c>
    </row>
    <row r="493" spans="1:14">
      <c r="A493" s="1" t="s">
        <v>505</v>
      </c>
      <c r="B493">
        <f>HYPERLINK("https://www.suredividend.com/sure-analysis-research-database/","Ebix Inc.")</f>
        <v>0</v>
      </c>
      <c r="C493" t="s">
        <v>1920</v>
      </c>
      <c r="D493">
        <v>17.84</v>
      </c>
      <c r="E493">
        <v>0.016732793677709</v>
      </c>
      <c r="F493">
        <v>0</v>
      </c>
      <c r="G493">
        <v>0</v>
      </c>
      <c r="H493">
        <v>0.298513039210342</v>
      </c>
      <c r="I493">
        <v>551.325558</v>
      </c>
      <c r="J493">
        <v>7.635136314863797</v>
      </c>
      <c r="K493">
        <v>0.1270268251958902</v>
      </c>
      <c r="L493">
        <v>2.325237067092628</v>
      </c>
      <c r="M493">
        <v>44.01</v>
      </c>
      <c r="N493">
        <v>12.42</v>
      </c>
    </row>
    <row r="494" spans="1:14">
      <c r="A494" s="1" t="s">
        <v>506</v>
      </c>
      <c r="B494">
        <f>HYPERLINK("https://www.suredividend.com/sure-analysis-research-database/","Emergent Biosolutions Inc")</f>
        <v>0</v>
      </c>
      <c r="C494" t="s">
        <v>1922</v>
      </c>
      <c r="D494">
        <v>13.14</v>
      </c>
      <c r="E494">
        <v>0</v>
      </c>
      <c r="F494" t="s">
        <v>1921</v>
      </c>
      <c r="G494" t="s">
        <v>1921</v>
      </c>
      <c r="H494">
        <v>0</v>
      </c>
      <c r="I494">
        <v>655.5311850000001</v>
      </c>
      <c r="J494">
        <v>12.25291933682243</v>
      </c>
      <c r="K494">
        <v>0</v>
      </c>
      <c r="L494">
        <v>1.491108747976482</v>
      </c>
      <c r="M494">
        <v>52.28</v>
      </c>
      <c r="N494">
        <v>10.61</v>
      </c>
    </row>
    <row r="495" spans="1:14">
      <c r="A495" s="1" t="s">
        <v>507</v>
      </c>
      <c r="B495">
        <f>HYPERLINK("https://www.suredividend.com/sure-analysis-EBTC/","Enterprise Bancorp, Inc.")</f>
        <v>0</v>
      </c>
      <c r="C495" t="s">
        <v>1923</v>
      </c>
      <c r="D495">
        <v>35.65</v>
      </c>
      <c r="E495">
        <v>0.02300140252454418</v>
      </c>
      <c r="F495" t="s">
        <v>1921</v>
      </c>
      <c r="G495" t="s">
        <v>1921</v>
      </c>
      <c r="H495">
        <v>0.8124365151212251</v>
      </c>
      <c r="I495">
        <v>432.223666</v>
      </c>
      <c r="J495">
        <v>0</v>
      </c>
      <c r="K495" t="s">
        <v>1921</v>
      </c>
      <c r="L495">
        <v>0.7490073928034611</v>
      </c>
      <c r="M495">
        <v>43.9</v>
      </c>
      <c r="N495">
        <v>28.39</v>
      </c>
    </row>
    <row r="496" spans="1:14">
      <c r="A496" s="1" t="s">
        <v>508</v>
      </c>
      <c r="B496">
        <f>HYPERLINK("https://www.suredividend.com/sure-analysis-research-database/","US Ecology Inc.")</f>
        <v>0</v>
      </c>
      <c r="C496" t="s">
        <v>1924</v>
      </c>
      <c r="D496">
        <v>47.99</v>
      </c>
      <c r="E496">
        <v>0</v>
      </c>
      <c r="F496" t="s">
        <v>1921</v>
      </c>
      <c r="G496" t="s">
        <v>1921</v>
      </c>
      <c r="H496">
        <v>0</v>
      </c>
      <c r="I496">
        <v>0</v>
      </c>
      <c r="J496">
        <v>0</v>
      </c>
      <c r="K496">
        <v>-0</v>
      </c>
    </row>
    <row r="497" spans="1:14">
      <c r="A497" s="1" t="s">
        <v>509</v>
      </c>
      <c r="B497">
        <f>HYPERLINK("https://www.suredividend.com/sure-analysis-research-database/","ChannelAdvisor Corp")</f>
        <v>0</v>
      </c>
      <c r="C497" t="s">
        <v>1920</v>
      </c>
      <c r="D497">
        <v>23.09</v>
      </c>
      <c r="E497">
        <v>0</v>
      </c>
      <c r="F497" t="s">
        <v>1921</v>
      </c>
      <c r="G497" t="s">
        <v>1921</v>
      </c>
      <c r="H497">
        <v>0</v>
      </c>
      <c r="I497">
        <v>667.681823</v>
      </c>
      <c r="J497">
        <v>17.93349153581693</v>
      </c>
      <c r="K497">
        <v>0</v>
      </c>
      <c r="L497">
        <v>0.73997927374976</v>
      </c>
      <c r="M497">
        <v>27.69</v>
      </c>
      <c r="N497">
        <v>11.89</v>
      </c>
    </row>
    <row r="498" spans="1:14">
      <c r="A498" s="1" t="s">
        <v>510</v>
      </c>
      <c r="B498">
        <f>HYPERLINK("https://www.suredividend.com/sure-analysis-research-database/","Encore Capital Group, Inc.")</f>
        <v>0</v>
      </c>
      <c r="C498" t="s">
        <v>1923</v>
      </c>
      <c r="D498">
        <v>51</v>
      </c>
      <c r="E498">
        <v>0</v>
      </c>
      <c r="F498" t="s">
        <v>1921</v>
      </c>
      <c r="G498" t="s">
        <v>1921</v>
      </c>
      <c r="H498">
        <v>0</v>
      </c>
      <c r="I498">
        <v>1192.673148</v>
      </c>
      <c r="J498">
        <v>3.469443218477739</v>
      </c>
      <c r="K498">
        <v>0</v>
      </c>
      <c r="L498">
        <v>0.4192145514139201</v>
      </c>
      <c r="M498">
        <v>72.73</v>
      </c>
      <c r="N498">
        <v>44.06</v>
      </c>
    </row>
    <row r="499" spans="1:14">
      <c r="A499" s="1" t="s">
        <v>511</v>
      </c>
      <c r="B499">
        <f>HYPERLINK("https://www.suredividend.com/sure-analysis-research-database/","Ecovyst Inc")</f>
        <v>0</v>
      </c>
      <c r="C499" t="s">
        <v>1921</v>
      </c>
      <c r="D499">
        <v>9.35</v>
      </c>
      <c r="E499">
        <v>0</v>
      </c>
      <c r="F499" t="s">
        <v>1921</v>
      </c>
      <c r="G499" t="s">
        <v>1921</v>
      </c>
      <c r="H499">
        <v>0</v>
      </c>
      <c r="I499">
        <v>1217.866971</v>
      </c>
      <c r="J499">
        <v>16.48439322144017</v>
      </c>
      <c r="K499">
        <v>0</v>
      </c>
      <c r="L499">
        <v>0.8721142312951421</v>
      </c>
      <c r="M499">
        <v>12.05</v>
      </c>
      <c r="N499">
        <v>8.199999999999999</v>
      </c>
    </row>
    <row r="500" spans="1:14">
      <c r="A500" s="1" t="s">
        <v>512</v>
      </c>
      <c r="B500">
        <f>HYPERLINK("https://www.suredividend.com/sure-analysis-research-database/","Editas Medicine Inc")</f>
        <v>0</v>
      </c>
      <c r="C500" t="s">
        <v>1922</v>
      </c>
      <c r="D500">
        <v>8.220000000000001</v>
      </c>
      <c r="E500">
        <v>0</v>
      </c>
      <c r="F500" t="s">
        <v>1921</v>
      </c>
      <c r="G500" t="s">
        <v>1921</v>
      </c>
      <c r="H500">
        <v>0</v>
      </c>
      <c r="I500">
        <v>565.231531</v>
      </c>
      <c r="J500" t="s">
        <v>1921</v>
      </c>
      <c r="K500">
        <v>-0</v>
      </c>
      <c r="L500">
        <v>2.192493335602437</v>
      </c>
      <c r="M500">
        <v>26.49</v>
      </c>
      <c r="N500">
        <v>7.71</v>
      </c>
    </row>
    <row r="501" spans="1:14">
      <c r="A501" s="1" t="s">
        <v>513</v>
      </c>
      <c r="B501">
        <f>HYPERLINK("https://www.suredividend.com/sure-analysis-research-database/","Emerald Holding Inc")</f>
        <v>0</v>
      </c>
      <c r="C501" t="s">
        <v>1931</v>
      </c>
      <c r="D501">
        <v>3.51</v>
      </c>
      <c r="E501">
        <v>0</v>
      </c>
      <c r="F501" t="s">
        <v>1921</v>
      </c>
      <c r="G501" t="s">
        <v>1921</v>
      </c>
      <c r="H501">
        <v>0</v>
      </c>
      <c r="I501">
        <v>237.309226</v>
      </c>
      <c r="J501">
        <v>59.327306415</v>
      </c>
      <c r="K501">
        <v>0</v>
      </c>
      <c r="L501">
        <v>0.7558548096018971</v>
      </c>
      <c r="M501">
        <v>4.55</v>
      </c>
      <c r="N501">
        <v>2.42</v>
      </c>
    </row>
    <row r="502" spans="1:14">
      <c r="A502" s="1" t="s">
        <v>514</v>
      </c>
      <c r="B502">
        <f>HYPERLINK("https://www.suredividend.com/sure-analysis-EFC/","Ellington Financial Inc")</f>
        <v>0</v>
      </c>
      <c r="C502" t="s">
        <v>1923</v>
      </c>
      <c r="D502">
        <v>12.96</v>
      </c>
      <c r="E502">
        <v>0.1388888888888889</v>
      </c>
      <c r="F502">
        <v>0</v>
      </c>
      <c r="G502">
        <v>0</v>
      </c>
      <c r="H502">
        <v>1.697278039441348</v>
      </c>
      <c r="I502">
        <v>783.28668</v>
      </c>
      <c r="J502">
        <v>0</v>
      </c>
      <c r="K502" t="s">
        <v>1921</v>
      </c>
      <c r="L502">
        <v>0.78423381061285</v>
      </c>
      <c r="M502">
        <v>16.36</v>
      </c>
      <c r="N502">
        <v>10.44</v>
      </c>
    </row>
    <row r="503" spans="1:14">
      <c r="A503" s="1" t="s">
        <v>515</v>
      </c>
      <c r="B503">
        <f>HYPERLINK("https://www.suredividend.com/sure-analysis-research-database/","Enterprise Financial Services Corp.")</f>
        <v>0</v>
      </c>
      <c r="C503" t="s">
        <v>1923</v>
      </c>
      <c r="D503">
        <v>49.61</v>
      </c>
      <c r="E503">
        <v>0.018010751864545</v>
      </c>
      <c r="F503">
        <v>0.2</v>
      </c>
      <c r="G503">
        <v>0.168863268921301</v>
      </c>
      <c r="H503">
        <v>0.8935134000000841</v>
      </c>
      <c r="I503">
        <v>1846.649104</v>
      </c>
      <c r="J503">
        <v>9.681042121531435</v>
      </c>
      <c r="K503">
        <v>0.1765836758893447</v>
      </c>
      <c r="L503">
        <v>0.665003091014254</v>
      </c>
      <c r="M503">
        <v>54.04</v>
      </c>
      <c r="N503">
        <v>39.24</v>
      </c>
    </row>
    <row r="504" spans="1:14">
      <c r="A504" s="1" t="s">
        <v>516</v>
      </c>
      <c r="B504">
        <f>HYPERLINK("https://www.suredividend.com/sure-analysis-research-database/","eGain Corp")</f>
        <v>0</v>
      </c>
      <c r="C504" t="s">
        <v>1920</v>
      </c>
      <c r="D504">
        <v>9.68</v>
      </c>
      <c r="E504">
        <v>0</v>
      </c>
      <c r="F504" t="s">
        <v>1921</v>
      </c>
      <c r="G504" t="s">
        <v>1921</v>
      </c>
      <c r="H504">
        <v>0</v>
      </c>
      <c r="I504">
        <v>309.149337</v>
      </c>
      <c r="J504" t="s">
        <v>1921</v>
      </c>
      <c r="K504">
        <v>-0</v>
      </c>
      <c r="L504">
        <v>1.035107023107515</v>
      </c>
      <c r="M504">
        <v>13.7</v>
      </c>
      <c r="N504">
        <v>7.02</v>
      </c>
    </row>
    <row r="505" spans="1:14">
      <c r="A505" s="1" t="s">
        <v>517</v>
      </c>
      <c r="B505">
        <f>HYPERLINK("https://www.suredividend.com/sure-analysis-research-database/","Eagle Bancorp Inc (MD)")</f>
        <v>0</v>
      </c>
      <c r="C505" t="s">
        <v>1923</v>
      </c>
      <c r="D505">
        <v>44.54</v>
      </c>
      <c r="E505">
        <v>0.04737888617232</v>
      </c>
      <c r="F505" t="s">
        <v>1921</v>
      </c>
      <c r="G505" t="s">
        <v>1921</v>
      </c>
      <c r="H505">
        <v>2.110255590115137</v>
      </c>
      <c r="I505">
        <v>1421.657562</v>
      </c>
      <c r="J505">
        <v>10.12886825594733</v>
      </c>
      <c r="K505">
        <v>0.4828960160446538</v>
      </c>
      <c r="L505">
        <v>0.576515268915302</v>
      </c>
      <c r="M505">
        <v>61.52</v>
      </c>
      <c r="N505">
        <v>41.54</v>
      </c>
    </row>
    <row r="506" spans="1:14">
      <c r="A506" s="1" t="s">
        <v>518</v>
      </c>
      <c r="B506">
        <f>HYPERLINK("https://www.suredividend.com/sure-analysis-research-database/","8X8 Inc.")</f>
        <v>0</v>
      </c>
      <c r="C506" t="s">
        <v>1920</v>
      </c>
      <c r="D506">
        <v>4.6</v>
      </c>
      <c r="E506">
        <v>0</v>
      </c>
      <c r="F506" t="s">
        <v>1921</v>
      </c>
      <c r="G506" t="s">
        <v>1921</v>
      </c>
      <c r="H506">
        <v>0</v>
      </c>
      <c r="I506">
        <v>513.766185</v>
      </c>
      <c r="J506" t="s">
        <v>1921</v>
      </c>
      <c r="K506">
        <v>-0</v>
      </c>
      <c r="L506">
        <v>1.887375294454223</v>
      </c>
      <c r="M506">
        <v>17.29</v>
      </c>
      <c r="N506">
        <v>2.87</v>
      </c>
    </row>
    <row r="507" spans="1:14">
      <c r="A507" s="1" t="s">
        <v>519</v>
      </c>
      <c r="B507">
        <f>HYPERLINK("https://www.suredividend.com/sure-analysis-research-database/","Eagle Bulk Shipping Inc")</f>
        <v>0</v>
      </c>
      <c r="C507" t="s">
        <v>1924</v>
      </c>
      <c r="D507">
        <v>49.95</v>
      </c>
      <c r="E507">
        <v>0.152769341715882</v>
      </c>
      <c r="F507" t="s">
        <v>1921</v>
      </c>
      <c r="G507" t="s">
        <v>1921</v>
      </c>
      <c r="H507">
        <v>7.630828618708312</v>
      </c>
      <c r="I507">
        <v>683.3643520000001</v>
      </c>
      <c r="J507">
        <v>2.188690018273632</v>
      </c>
      <c r="K507">
        <v>0.4367961430285239</v>
      </c>
      <c r="L507">
        <v>0.490273342450226</v>
      </c>
      <c r="M507">
        <v>73.18000000000001</v>
      </c>
      <c r="N507">
        <v>33.2</v>
      </c>
    </row>
    <row r="508" spans="1:14">
      <c r="A508" s="1" t="s">
        <v>520</v>
      </c>
      <c r="B508">
        <f>HYPERLINK("https://www.suredividend.com/sure-analysis-EGP/","Eastgroup Properties, Inc.")</f>
        <v>0</v>
      </c>
      <c r="C508" t="s">
        <v>1929</v>
      </c>
      <c r="D508">
        <v>149.51</v>
      </c>
      <c r="E508">
        <v>0.03344257909169955</v>
      </c>
      <c r="F508">
        <v>0.1363636363636362</v>
      </c>
      <c r="G508">
        <v>0.1432626298183159</v>
      </c>
      <c r="H508">
        <v>4.644047232519034</v>
      </c>
      <c r="I508">
        <v>6514.978836</v>
      </c>
      <c r="J508">
        <v>29.69452523195077</v>
      </c>
      <c r="K508">
        <v>0.889664220789087</v>
      </c>
      <c r="L508">
        <v>0.925140378090294</v>
      </c>
      <c r="M508">
        <v>212.25</v>
      </c>
      <c r="N508">
        <v>136.29</v>
      </c>
    </row>
    <row r="509" spans="1:14">
      <c r="A509" s="1" t="s">
        <v>521</v>
      </c>
      <c r="B509">
        <f>HYPERLINK("https://www.suredividend.com/sure-analysis-research-database/","Eagle Pharmaceuticals Inc")</f>
        <v>0</v>
      </c>
      <c r="C509" t="s">
        <v>1922</v>
      </c>
      <c r="D509">
        <v>30.74</v>
      </c>
      <c r="E509">
        <v>0</v>
      </c>
      <c r="F509" t="s">
        <v>1921</v>
      </c>
      <c r="G509" t="s">
        <v>1921</v>
      </c>
      <c r="H509">
        <v>0</v>
      </c>
      <c r="I509">
        <v>400.107413</v>
      </c>
      <c r="J509">
        <v>18.8011565922654</v>
      </c>
      <c r="K509">
        <v>0</v>
      </c>
      <c r="L509">
        <v>0.661733646600097</v>
      </c>
      <c r="M509">
        <v>53.78</v>
      </c>
      <c r="N509">
        <v>24.35</v>
      </c>
    </row>
    <row r="510" spans="1:14">
      <c r="A510" s="1" t="s">
        <v>522</v>
      </c>
      <c r="B510">
        <f>HYPERLINK("https://www.suredividend.com/sure-analysis-research-database/","eHealth Inc")</f>
        <v>0</v>
      </c>
      <c r="C510" t="s">
        <v>1923</v>
      </c>
      <c r="D510">
        <v>6.27</v>
      </c>
      <c r="E510">
        <v>0</v>
      </c>
      <c r="F510" t="s">
        <v>1921</v>
      </c>
      <c r="G510" t="s">
        <v>1921</v>
      </c>
      <c r="H510">
        <v>0</v>
      </c>
      <c r="I510">
        <v>171.937953</v>
      </c>
      <c r="J510" t="s">
        <v>1921</v>
      </c>
      <c r="K510">
        <v>-0</v>
      </c>
      <c r="L510">
        <v>1.477359987808405</v>
      </c>
      <c r="M510">
        <v>26.5</v>
      </c>
      <c r="N510">
        <v>2.67</v>
      </c>
    </row>
    <row r="511" spans="1:14">
      <c r="A511" s="1" t="s">
        <v>523</v>
      </c>
      <c r="B511">
        <f>HYPERLINK("https://www.suredividend.com/sure-analysis-research-database/","Employers Holdings Inc")</f>
        <v>0</v>
      </c>
      <c r="C511" t="s">
        <v>1923</v>
      </c>
      <c r="D511">
        <v>41.87</v>
      </c>
      <c r="E511">
        <v>0.023708487202281</v>
      </c>
      <c r="F511">
        <v>3.807692307692307</v>
      </c>
      <c r="G511">
        <v>0.4426999059072136</v>
      </c>
      <c r="H511">
        <v>0.992674359159546</v>
      </c>
      <c r="I511">
        <v>1138.726959</v>
      </c>
      <c r="J511">
        <v>20.33440999089286</v>
      </c>
      <c r="K511">
        <v>0.4938678403778837</v>
      </c>
      <c r="L511">
        <v>0.39235292569411</v>
      </c>
      <c r="M511">
        <v>45.46</v>
      </c>
      <c r="N511">
        <v>31.5</v>
      </c>
    </row>
    <row r="512" spans="1:14">
      <c r="A512" s="1" t="s">
        <v>524</v>
      </c>
      <c r="B512">
        <f>HYPERLINK("https://www.suredividend.com/sure-analysis-research-database/","Eiger BioPharmaceuticals Inc")</f>
        <v>0</v>
      </c>
      <c r="C512" t="s">
        <v>1922</v>
      </c>
      <c r="D512">
        <v>1.18</v>
      </c>
      <c r="E512">
        <v>0</v>
      </c>
      <c r="F512" t="s">
        <v>1921</v>
      </c>
      <c r="G512" t="s">
        <v>1921</v>
      </c>
      <c r="H512">
        <v>0</v>
      </c>
      <c r="I512">
        <v>52.007655</v>
      </c>
      <c r="J512">
        <v>0</v>
      </c>
      <c r="K512" t="s">
        <v>1921</v>
      </c>
      <c r="L512">
        <v>0.9376812094148621</v>
      </c>
      <c r="M512">
        <v>10.02</v>
      </c>
      <c r="N512">
        <v>0.96</v>
      </c>
    </row>
    <row r="513" spans="1:14">
      <c r="A513" s="1" t="s">
        <v>525</v>
      </c>
      <c r="B513">
        <f>HYPERLINK("https://www.suredividend.com/sure-analysis-research-database/","e.l.f. Beauty Inc")</f>
        <v>0</v>
      </c>
      <c r="C513" t="s">
        <v>1928</v>
      </c>
      <c r="D513">
        <v>55.76</v>
      </c>
      <c r="E513">
        <v>0</v>
      </c>
      <c r="F513" t="s">
        <v>1921</v>
      </c>
      <c r="G513" t="s">
        <v>1921</v>
      </c>
      <c r="H513">
        <v>0</v>
      </c>
      <c r="I513">
        <v>2951.829125</v>
      </c>
      <c r="J513">
        <v>86.9489270706059</v>
      </c>
      <c r="K513">
        <v>0</v>
      </c>
      <c r="L513">
        <v>1.085649846313285</v>
      </c>
      <c r="M513">
        <v>58.76</v>
      </c>
      <c r="N513">
        <v>20.49</v>
      </c>
    </row>
    <row r="514" spans="1:14">
      <c r="A514" s="1" t="s">
        <v>526</v>
      </c>
      <c r="B514">
        <f>HYPERLINK("https://www.suredividend.com/sure-analysis-research-database/","Topgolf Callaway Brands Corp")</f>
        <v>0</v>
      </c>
      <c r="C514" t="s">
        <v>1927</v>
      </c>
      <c r="D514">
        <v>21.33</v>
      </c>
      <c r="E514">
        <v>0</v>
      </c>
      <c r="F514" t="s">
        <v>1921</v>
      </c>
      <c r="G514" t="s">
        <v>1921</v>
      </c>
      <c r="H514">
        <v>0</v>
      </c>
      <c r="I514">
        <v>3941.152952</v>
      </c>
      <c r="J514">
        <v>26.29486300614479</v>
      </c>
      <c r="K514">
        <v>0</v>
      </c>
      <c r="L514">
        <v>1.509442864551341</v>
      </c>
      <c r="M514">
        <v>31.68</v>
      </c>
      <c r="N514">
        <v>17.78</v>
      </c>
    </row>
    <row r="515" spans="1:14">
      <c r="A515" s="1" t="s">
        <v>527</v>
      </c>
      <c r="B515">
        <f>HYPERLINK("https://www.suredividend.com/sure-analysis-research-database/","Eliem Therapeutics Inc")</f>
        <v>0</v>
      </c>
      <c r="C515" t="s">
        <v>1921</v>
      </c>
      <c r="D515">
        <v>4.12</v>
      </c>
      <c r="E515">
        <v>0</v>
      </c>
      <c r="F515" t="s">
        <v>1921</v>
      </c>
      <c r="G515" t="s">
        <v>1921</v>
      </c>
      <c r="H515">
        <v>0</v>
      </c>
      <c r="I515">
        <v>109.458846</v>
      </c>
      <c r="J515">
        <v>0</v>
      </c>
      <c r="K515" t="s">
        <v>1921</v>
      </c>
      <c r="M515">
        <v>11.51</v>
      </c>
      <c r="N515">
        <v>2.36</v>
      </c>
    </row>
    <row r="516" spans="1:14">
      <c r="A516" s="1" t="s">
        <v>528</v>
      </c>
      <c r="B516">
        <f>HYPERLINK("https://www.suredividend.com/sure-analysis-research-database/","Emcor Group, Inc.")</f>
        <v>0</v>
      </c>
      <c r="C516" t="s">
        <v>1924</v>
      </c>
      <c r="D516">
        <v>145.04</v>
      </c>
      <c r="E516">
        <v>0.003716490242346</v>
      </c>
      <c r="F516">
        <v>0.1538461538461537</v>
      </c>
      <c r="G516">
        <v>0.1339665776330272</v>
      </c>
      <c r="H516">
        <v>0.539039744749883</v>
      </c>
      <c r="I516">
        <v>6911.917605</v>
      </c>
      <c r="J516">
        <v>18.11821438318173</v>
      </c>
      <c r="K516">
        <v>0.0729417787212291</v>
      </c>
      <c r="L516">
        <v>0.762063177670226</v>
      </c>
      <c r="M516">
        <v>156.67</v>
      </c>
      <c r="N516">
        <v>95.40000000000001</v>
      </c>
    </row>
    <row r="517" spans="1:14">
      <c r="A517" s="1" t="s">
        <v>529</v>
      </c>
      <c r="B517">
        <f>HYPERLINK("https://www.suredividend.com/sure-analysis-research-database/","Emcore Corp.")</f>
        <v>0</v>
      </c>
      <c r="C517" t="s">
        <v>1920</v>
      </c>
      <c r="D517">
        <v>1.12</v>
      </c>
      <c r="E517">
        <v>0</v>
      </c>
      <c r="F517" t="s">
        <v>1921</v>
      </c>
      <c r="G517" t="s">
        <v>1921</v>
      </c>
      <c r="H517">
        <v>0</v>
      </c>
      <c r="I517">
        <v>42.115731</v>
      </c>
      <c r="J517" t="s">
        <v>1921</v>
      </c>
      <c r="K517">
        <v>-0</v>
      </c>
      <c r="L517">
        <v>1.144093647852754</v>
      </c>
      <c r="M517">
        <v>6.83</v>
      </c>
      <c r="N517">
        <v>0.8613000000000001</v>
      </c>
    </row>
    <row r="518" spans="1:14">
      <c r="A518" s="1" t="s">
        <v>530</v>
      </c>
      <c r="B518">
        <f>HYPERLINK("https://www.suredividend.com/sure-analysis-research-database/","Endo International plc")</f>
        <v>0</v>
      </c>
      <c r="C518" t="s">
        <v>1922</v>
      </c>
      <c r="D518">
        <v>0.2926</v>
      </c>
      <c r="E518">
        <v>0</v>
      </c>
      <c r="F518" t="s">
        <v>1921</v>
      </c>
      <c r="G518" t="s">
        <v>1921</v>
      </c>
      <c r="H518">
        <v>0</v>
      </c>
      <c r="I518">
        <v>0</v>
      </c>
      <c r="J518">
        <v>0</v>
      </c>
      <c r="K518" t="s">
        <v>1921</v>
      </c>
    </row>
    <row r="519" spans="1:14">
      <c r="A519" s="1" t="s">
        <v>531</v>
      </c>
      <c r="B519">
        <f>HYPERLINK("https://www.suredividend.com/sure-analysis-research-database/","Enfusion Inc")</f>
        <v>0</v>
      </c>
      <c r="C519" t="s">
        <v>1921</v>
      </c>
      <c r="D519">
        <v>10.82</v>
      </c>
      <c r="E519">
        <v>0</v>
      </c>
      <c r="F519" t="s">
        <v>1921</v>
      </c>
      <c r="G519" t="s">
        <v>1921</v>
      </c>
      <c r="H519">
        <v>0</v>
      </c>
      <c r="I519">
        <v>746.429245</v>
      </c>
      <c r="J519">
        <v>0</v>
      </c>
      <c r="K519" t="s">
        <v>1921</v>
      </c>
      <c r="L519">
        <v>1.419415013485528</v>
      </c>
      <c r="M519">
        <v>19.8</v>
      </c>
      <c r="N519">
        <v>7.8</v>
      </c>
    </row>
    <row r="520" spans="1:14">
      <c r="A520" s="1" t="s">
        <v>532</v>
      </c>
      <c r="B520">
        <f>HYPERLINK("https://www.suredividend.com/sure-analysis-research-database/","Energizer Holdings Inc")</f>
        <v>0</v>
      </c>
      <c r="C520" t="s">
        <v>1924</v>
      </c>
      <c r="D520">
        <v>36.59</v>
      </c>
      <c r="E520">
        <v>0.032562094286604</v>
      </c>
      <c r="F520">
        <v>0</v>
      </c>
      <c r="G520">
        <v>0.006803348678863008</v>
      </c>
      <c r="H520">
        <v>1.191447029946843</v>
      </c>
      <c r="I520">
        <v>2612.741332</v>
      </c>
      <c r="J520" t="s">
        <v>1921</v>
      </c>
      <c r="K520" t="s">
        <v>1921</v>
      </c>
      <c r="L520">
        <v>0.7362304925885601</v>
      </c>
      <c r="M520">
        <v>40.48</v>
      </c>
      <c r="N520">
        <v>24.81</v>
      </c>
    </row>
    <row r="521" spans="1:14">
      <c r="A521" s="1" t="s">
        <v>533</v>
      </c>
      <c r="B521">
        <f>HYPERLINK("https://www.suredividend.com/sure-analysis-research-database/","Enersys")</f>
        <v>0</v>
      </c>
      <c r="C521" t="s">
        <v>1924</v>
      </c>
      <c r="D521">
        <v>76.06</v>
      </c>
      <c r="E521">
        <v>0.009168827127420001</v>
      </c>
      <c r="F521">
        <v>0</v>
      </c>
      <c r="G521">
        <v>0</v>
      </c>
      <c r="H521">
        <v>0.697380991311613</v>
      </c>
      <c r="I521">
        <v>3105.496105</v>
      </c>
      <c r="J521">
        <v>23.92413374897924</v>
      </c>
      <c r="K521">
        <v>0.2242382608719013</v>
      </c>
      <c r="L521">
        <v>1.23522399094974</v>
      </c>
      <c r="M521">
        <v>80.8</v>
      </c>
      <c r="N521">
        <v>55.32</v>
      </c>
    </row>
    <row r="522" spans="1:14">
      <c r="A522" s="1" t="s">
        <v>534</v>
      </c>
      <c r="B522">
        <f>HYPERLINK("https://www.suredividend.com/sure-analysis-research-database/","Ensign Group Inc")</f>
        <v>0</v>
      </c>
      <c r="C522" t="s">
        <v>1922</v>
      </c>
      <c r="D522">
        <v>94.64</v>
      </c>
      <c r="E522">
        <v>0.00234872108506</v>
      </c>
      <c r="F522">
        <v>0.04545454545454541</v>
      </c>
      <c r="G522">
        <v>0.05024607263868264</v>
      </c>
      <c r="H522">
        <v>0.222282963490107</v>
      </c>
      <c r="I522">
        <v>5251.030556</v>
      </c>
      <c r="J522">
        <v>24.65851399708852</v>
      </c>
      <c r="K522">
        <v>0.05927545693069521</v>
      </c>
      <c r="L522">
        <v>0.6683998714905101</v>
      </c>
      <c r="M522">
        <v>98.09999999999999</v>
      </c>
      <c r="N522">
        <v>70.15000000000001</v>
      </c>
    </row>
    <row r="523" spans="1:14">
      <c r="A523" s="1" t="s">
        <v>535</v>
      </c>
      <c r="B523">
        <f>HYPERLINK("https://www.suredividend.com/sure-analysis-research-database/","Enanta Pharmaceuticals Inc")</f>
        <v>0</v>
      </c>
      <c r="C523" t="s">
        <v>1922</v>
      </c>
      <c r="D523">
        <v>47.19</v>
      </c>
      <c r="E523">
        <v>0</v>
      </c>
      <c r="F523" t="s">
        <v>1921</v>
      </c>
      <c r="G523" t="s">
        <v>1921</v>
      </c>
      <c r="H523">
        <v>0</v>
      </c>
      <c r="I523">
        <v>981.4336</v>
      </c>
      <c r="J523" t="s">
        <v>1921</v>
      </c>
      <c r="K523">
        <v>-0</v>
      </c>
      <c r="L523">
        <v>1.040271831305704</v>
      </c>
      <c r="M523">
        <v>79.5</v>
      </c>
      <c r="N523">
        <v>37.59</v>
      </c>
    </row>
    <row r="524" spans="1:14">
      <c r="A524" s="1" t="s">
        <v>536</v>
      </c>
      <c r="B524">
        <f>HYPERLINK("https://www.suredividend.com/sure-analysis-research-database/","Envestnet Inc.")</f>
        <v>0</v>
      </c>
      <c r="C524" t="s">
        <v>1920</v>
      </c>
      <c r="D524">
        <v>63.41</v>
      </c>
      <c r="E524">
        <v>0</v>
      </c>
      <c r="F524" t="s">
        <v>1921</v>
      </c>
      <c r="G524" t="s">
        <v>1921</v>
      </c>
      <c r="H524">
        <v>0</v>
      </c>
      <c r="I524">
        <v>3508.230284</v>
      </c>
      <c r="J524" t="s">
        <v>1921</v>
      </c>
      <c r="K524">
        <v>-0</v>
      </c>
      <c r="L524">
        <v>0.90146570587952</v>
      </c>
      <c r="M524">
        <v>84.58</v>
      </c>
      <c r="N524">
        <v>41.72</v>
      </c>
    </row>
    <row r="525" spans="1:14">
      <c r="A525" s="1" t="s">
        <v>537</v>
      </c>
      <c r="B525">
        <f>HYPERLINK("https://www.suredividend.com/sure-analysis-research-database/","Enova International Inc.")</f>
        <v>0</v>
      </c>
      <c r="C525" t="s">
        <v>1923</v>
      </c>
      <c r="D525">
        <v>38.53</v>
      </c>
      <c r="E525">
        <v>0</v>
      </c>
      <c r="F525" t="s">
        <v>1921</v>
      </c>
      <c r="G525" t="s">
        <v>1921</v>
      </c>
      <c r="H525">
        <v>0</v>
      </c>
      <c r="I525">
        <v>1212.15091</v>
      </c>
      <c r="J525">
        <v>0</v>
      </c>
      <c r="K525" t="s">
        <v>1921</v>
      </c>
      <c r="L525">
        <v>1.256104273723609</v>
      </c>
      <c r="M525">
        <v>47.88</v>
      </c>
      <c r="N525">
        <v>25.8</v>
      </c>
    </row>
    <row r="526" spans="1:14">
      <c r="A526" s="1" t="s">
        <v>538</v>
      </c>
      <c r="B526">
        <f>HYPERLINK("https://www.suredividend.com/sure-analysis-research-database/","Evolus Inc")</f>
        <v>0</v>
      </c>
      <c r="C526" t="s">
        <v>1922</v>
      </c>
      <c r="D526">
        <v>7.95</v>
      </c>
      <c r="E526">
        <v>0</v>
      </c>
      <c r="F526" t="s">
        <v>1921</v>
      </c>
      <c r="G526" t="s">
        <v>1921</v>
      </c>
      <c r="H526">
        <v>0</v>
      </c>
      <c r="I526">
        <v>447.160232</v>
      </c>
      <c r="J526" t="s">
        <v>1921</v>
      </c>
      <c r="K526">
        <v>-0</v>
      </c>
      <c r="L526">
        <v>1.167526770721618</v>
      </c>
      <c r="M526">
        <v>14.34</v>
      </c>
      <c r="N526">
        <v>5.06</v>
      </c>
    </row>
    <row r="527" spans="1:14">
      <c r="A527" s="1" t="s">
        <v>539</v>
      </c>
      <c r="B527">
        <f>HYPERLINK("https://www.suredividend.com/sure-analysis-research-database/","Eos Energy Enterprises Inc")</f>
        <v>0</v>
      </c>
      <c r="C527" t="s">
        <v>1921</v>
      </c>
      <c r="D527">
        <v>1.42</v>
      </c>
      <c r="E527">
        <v>0</v>
      </c>
      <c r="F527" t="s">
        <v>1921</v>
      </c>
      <c r="G527" t="s">
        <v>1921</v>
      </c>
      <c r="H527">
        <v>0</v>
      </c>
      <c r="I527">
        <v>117.274354</v>
      </c>
      <c r="J527">
        <v>0</v>
      </c>
      <c r="K527" t="s">
        <v>1921</v>
      </c>
      <c r="L527">
        <v>2.657722289319977</v>
      </c>
      <c r="M527">
        <v>6.57</v>
      </c>
      <c r="N527">
        <v>0.9550000000000001</v>
      </c>
    </row>
    <row r="528" spans="1:14">
      <c r="A528" s="1" t="s">
        <v>540</v>
      </c>
      <c r="B528">
        <f>HYPERLINK("https://www.suredividend.com/sure-analysis-research-database/","Enerpac Tool Group Corp")</f>
        <v>0</v>
      </c>
      <c r="C528" t="s">
        <v>1924</v>
      </c>
      <c r="D528">
        <v>25.09</v>
      </c>
      <c r="E528">
        <v>0.001594260625983</v>
      </c>
      <c r="F528" t="s">
        <v>1921</v>
      </c>
      <c r="G528" t="s">
        <v>1921</v>
      </c>
      <c r="H528">
        <v>0.03999999910593</v>
      </c>
      <c r="I528">
        <v>1429.458491</v>
      </c>
      <c r="J528">
        <v>70.24020889587736</v>
      </c>
      <c r="K528">
        <v>0.1161440159870209</v>
      </c>
      <c r="L528">
        <v>0.790658492103642</v>
      </c>
      <c r="M528">
        <v>27.37</v>
      </c>
      <c r="N528">
        <v>16.06</v>
      </c>
    </row>
    <row r="529" spans="1:14">
      <c r="A529" s="1" t="s">
        <v>541</v>
      </c>
      <c r="B529">
        <f>HYPERLINK("https://www.suredividend.com/sure-analysis-research-database/","Bottomline Technologies (Delaware) Inc")</f>
        <v>0</v>
      </c>
      <c r="C529" t="s">
        <v>1920</v>
      </c>
      <c r="D529">
        <v>56.99</v>
      </c>
      <c r="E529">
        <v>0</v>
      </c>
      <c r="F529" t="s">
        <v>1921</v>
      </c>
      <c r="G529" t="s">
        <v>1921</v>
      </c>
      <c r="H529">
        <v>0</v>
      </c>
      <c r="I529">
        <v>0</v>
      </c>
      <c r="J529">
        <v>0</v>
      </c>
      <c r="K529">
        <v>-0</v>
      </c>
    </row>
    <row r="530" spans="1:14">
      <c r="A530" s="1" t="s">
        <v>542</v>
      </c>
      <c r="B530">
        <f>HYPERLINK("https://www.suredividend.com/sure-analysis-research-database/","Edgewell Personal Care Co")</f>
        <v>0</v>
      </c>
      <c r="C530" t="s">
        <v>1928</v>
      </c>
      <c r="D530">
        <v>39.92</v>
      </c>
      <c r="E530">
        <v>0.014945257316266</v>
      </c>
      <c r="F530" t="s">
        <v>1921</v>
      </c>
      <c r="G530" t="s">
        <v>1921</v>
      </c>
      <c r="H530">
        <v>0.596614672065377</v>
      </c>
      <c r="I530">
        <v>2053.622604</v>
      </c>
      <c r="J530">
        <v>18.84057434715596</v>
      </c>
      <c r="K530">
        <v>0.2983073360326885</v>
      </c>
      <c r="L530">
        <v>0.560326123873596</v>
      </c>
      <c r="M530">
        <v>51.05</v>
      </c>
      <c r="N530">
        <v>31.63</v>
      </c>
    </row>
    <row r="531" spans="1:14">
      <c r="A531" s="1" t="s">
        <v>543</v>
      </c>
      <c r="B531">
        <f>HYPERLINK("https://www.suredividend.com/sure-analysis-EPRT/","Essential Properties Realty Trust Inc")</f>
        <v>0</v>
      </c>
      <c r="C531" t="s">
        <v>1929</v>
      </c>
      <c r="D531">
        <v>23.38</v>
      </c>
      <c r="E531">
        <v>0.04619332763045338</v>
      </c>
      <c r="F531" t="s">
        <v>1921</v>
      </c>
      <c r="G531" t="s">
        <v>1921</v>
      </c>
      <c r="H531">
        <v>1.055374853874855</v>
      </c>
      <c r="I531">
        <v>3328.779287</v>
      </c>
      <c r="J531">
        <v>0</v>
      </c>
      <c r="K531" t="s">
        <v>1921</v>
      </c>
      <c r="L531">
        <v>0.798437978598703</v>
      </c>
      <c r="M531">
        <v>26.95</v>
      </c>
      <c r="N531">
        <v>18.65</v>
      </c>
    </row>
    <row r="532" spans="1:14">
      <c r="A532" s="1" t="s">
        <v>544</v>
      </c>
      <c r="B532">
        <f>HYPERLINK("https://www.suredividend.com/sure-analysis-research-database/","Epizyme Inc")</f>
        <v>0</v>
      </c>
      <c r="C532" t="s">
        <v>1922</v>
      </c>
      <c r="D532">
        <v>1.47</v>
      </c>
      <c r="E532">
        <v>0</v>
      </c>
      <c r="F532" t="s">
        <v>1921</v>
      </c>
      <c r="G532" t="s">
        <v>1921</v>
      </c>
      <c r="H532">
        <v>0</v>
      </c>
      <c r="I532">
        <v>0</v>
      </c>
      <c r="J532">
        <v>0</v>
      </c>
      <c r="K532" t="s">
        <v>1921</v>
      </c>
    </row>
    <row r="533" spans="1:14">
      <c r="A533" s="1" t="s">
        <v>545</v>
      </c>
      <c r="B533">
        <f>HYPERLINK("https://www.suredividend.com/sure-analysis-research-database/","Equity Bancshares Inc")</f>
        <v>0</v>
      </c>
      <c r="C533" t="s">
        <v>1923</v>
      </c>
      <c r="D533">
        <v>32.31</v>
      </c>
      <c r="E533">
        <v>0.011093981593122</v>
      </c>
      <c r="F533" t="s">
        <v>1921</v>
      </c>
      <c r="G533" t="s">
        <v>1921</v>
      </c>
      <c r="H533">
        <v>0.358446545273797</v>
      </c>
      <c r="I533">
        <v>514.959171</v>
      </c>
      <c r="J533">
        <v>0</v>
      </c>
      <c r="K533" t="s">
        <v>1921</v>
      </c>
      <c r="L533">
        <v>0.564129122009798</v>
      </c>
      <c r="M533">
        <v>37.92</v>
      </c>
      <c r="N533">
        <v>27.87</v>
      </c>
    </row>
    <row r="534" spans="1:14">
      <c r="A534" s="1" t="s">
        <v>546</v>
      </c>
      <c r="B534">
        <f>HYPERLINK("https://www.suredividend.com/sure-analysis-research-database/","Equity Commonwealth")</f>
        <v>0</v>
      </c>
      <c r="C534" t="s">
        <v>1929</v>
      </c>
      <c r="D534">
        <v>24.78</v>
      </c>
      <c r="E534">
        <v>0</v>
      </c>
      <c r="F534" t="s">
        <v>1921</v>
      </c>
      <c r="G534" t="s">
        <v>1921</v>
      </c>
      <c r="H534">
        <v>0</v>
      </c>
      <c r="I534">
        <v>2711.632085</v>
      </c>
      <c r="J534">
        <v>400.7732906532663</v>
      </c>
      <c r="K534">
        <v>0</v>
      </c>
      <c r="L534">
        <v>0.30158178123147</v>
      </c>
      <c r="M534">
        <v>27.69</v>
      </c>
      <c r="N534">
        <v>23.88</v>
      </c>
    </row>
    <row r="535" spans="1:14">
      <c r="A535" s="1" t="s">
        <v>547</v>
      </c>
      <c r="B535">
        <f>HYPERLINK("https://www.suredividend.com/sure-analysis-research-database/","Erasca Inc")</f>
        <v>0</v>
      </c>
      <c r="C535" t="s">
        <v>1921</v>
      </c>
      <c r="D535">
        <v>3.83</v>
      </c>
      <c r="E535">
        <v>0</v>
      </c>
      <c r="F535" t="s">
        <v>1921</v>
      </c>
      <c r="G535" t="s">
        <v>1921</v>
      </c>
      <c r="H535">
        <v>0</v>
      </c>
      <c r="I535">
        <v>468.644989</v>
      </c>
      <c r="J535">
        <v>0</v>
      </c>
      <c r="K535" t="s">
        <v>1921</v>
      </c>
      <c r="L535">
        <v>1.325398857511979</v>
      </c>
      <c r="M535">
        <v>14.43</v>
      </c>
      <c r="N535">
        <v>3.82</v>
      </c>
    </row>
    <row r="536" spans="1:14">
      <c r="A536" s="1" t="s">
        <v>548</v>
      </c>
      <c r="B536">
        <f>HYPERLINK("https://www.suredividend.com/sure-analysis-research-database/","Energy Recovery Inc")</f>
        <v>0</v>
      </c>
      <c r="C536" t="s">
        <v>1924</v>
      </c>
      <c r="D536">
        <v>20.43</v>
      </c>
      <c r="E536">
        <v>0</v>
      </c>
      <c r="F536" t="s">
        <v>1921</v>
      </c>
      <c r="G536" t="s">
        <v>1921</v>
      </c>
      <c r="H536">
        <v>0</v>
      </c>
      <c r="I536">
        <v>1143.997647</v>
      </c>
      <c r="J536">
        <v>73.39434443253994</v>
      </c>
      <c r="K536">
        <v>0</v>
      </c>
      <c r="L536">
        <v>1.136707649794293</v>
      </c>
      <c r="M536">
        <v>26.34</v>
      </c>
      <c r="N536">
        <v>16.92</v>
      </c>
    </row>
    <row r="537" spans="1:14">
      <c r="A537" s="1" t="s">
        <v>549</v>
      </c>
      <c r="B537">
        <f>HYPERLINK("https://www.suredividend.com/sure-analysis-research-database/","Escalade, Inc.")</f>
        <v>0</v>
      </c>
      <c r="C537" t="s">
        <v>1927</v>
      </c>
      <c r="D537">
        <v>11.66</v>
      </c>
      <c r="E537">
        <v>0.05041952895972601</v>
      </c>
      <c r="F537">
        <v>0.0714285714285714</v>
      </c>
      <c r="G537">
        <v>0.03713728933664817</v>
      </c>
      <c r="H537">
        <v>0.5878917076704161</v>
      </c>
      <c r="I537">
        <v>158.464146</v>
      </c>
      <c r="J537">
        <v>7.861884581266124</v>
      </c>
      <c r="K537">
        <v>0.3999263317485824</v>
      </c>
      <c r="L537">
        <v>0.695699137640705</v>
      </c>
      <c r="M537">
        <v>15.71</v>
      </c>
      <c r="N537">
        <v>9.25</v>
      </c>
    </row>
    <row r="538" spans="1:14">
      <c r="A538" s="1" t="s">
        <v>550</v>
      </c>
      <c r="B538">
        <f>HYPERLINK("https://www.suredividend.com/sure-analysis-research-database/","Esco Technologies, Inc.")</f>
        <v>0</v>
      </c>
      <c r="C538" t="s">
        <v>1920</v>
      </c>
      <c r="D538">
        <v>88.59999999999999</v>
      </c>
      <c r="E538">
        <v>0.003606227308457</v>
      </c>
      <c r="F538">
        <v>0</v>
      </c>
      <c r="G538">
        <v>0</v>
      </c>
      <c r="H538">
        <v>0.319511739529313</v>
      </c>
      <c r="I538">
        <v>2293.457781</v>
      </c>
      <c r="J538">
        <v>27.86027430515063</v>
      </c>
      <c r="K538">
        <v>0.1011113099776307</v>
      </c>
      <c r="L538">
        <v>0.879252440621011</v>
      </c>
      <c r="M538">
        <v>96.59999999999999</v>
      </c>
      <c r="N538">
        <v>59.84</v>
      </c>
    </row>
    <row r="539" spans="1:14">
      <c r="A539" s="1" t="s">
        <v>551</v>
      </c>
      <c r="B539">
        <f>HYPERLINK("https://www.suredividend.com/sure-analysis-research-database/","Enstar Group Limited")</f>
        <v>0</v>
      </c>
      <c r="C539" t="s">
        <v>1923</v>
      </c>
      <c r="D539">
        <v>236.13</v>
      </c>
      <c r="E539">
        <v>0</v>
      </c>
      <c r="F539" t="s">
        <v>1921</v>
      </c>
      <c r="G539" t="s">
        <v>1921</v>
      </c>
      <c r="H539">
        <v>0</v>
      </c>
      <c r="I539">
        <v>3775.921063</v>
      </c>
      <c r="J539" t="s">
        <v>1921</v>
      </c>
      <c r="K539">
        <v>-0</v>
      </c>
      <c r="L539">
        <v>0.5031299425636271</v>
      </c>
      <c r="M539">
        <v>286.89</v>
      </c>
      <c r="N539">
        <v>169.04</v>
      </c>
    </row>
    <row r="540" spans="1:14">
      <c r="A540" s="1" t="s">
        <v>552</v>
      </c>
      <c r="B540">
        <f>HYPERLINK("https://www.suredividend.com/sure-analysis-research-database/","Engagesmart Inc")</f>
        <v>0</v>
      </c>
      <c r="C540" t="s">
        <v>1921</v>
      </c>
      <c r="D540">
        <v>17.51</v>
      </c>
      <c r="E540">
        <v>0</v>
      </c>
      <c r="F540" t="s">
        <v>1921</v>
      </c>
      <c r="G540" t="s">
        <v>1921</v>
      </c>
      <c r="H540">
        <v>0</v>
      </c>
      <c r="I540">
        <v>2897.589732</v>
      </c>
      <c r="J540">
        <v>0</v>
      </c>
      <c r="K540" t="s">
        <v>1921</v>
      </c>
      <c r="L540">
        <v>1.287581317348514</v>
      </c>
      <c r="M540">
        <v>24.68</v>
      </c>
      <c r="N540">
        <v>15.01</v>
      </c>
    </row>
    <row r="541" spans="1:14">
      <c r="A541" s="1" t="s">
        <v>553</v>
      </c>
      <c r="B541">
        <f>HYPERLINK("https://www.suredividend.com/sure-analysis-research-database/","Essent Group Ltd")</f>
        <v>0</v>
      </c>
      <c r="C541" t="s">
        <v>1923</v>
      </c>
      <c r="D541">
        <v>38.29</v>
      </c>
      <c r="E541">
        <v>0.022305412559876</v>
      </c>
      <c r="F541" t="s">
        <v>1921</v>
      </c>
      <c r="G541" t="s">
        <v>1921</v>
      </c>
      <c r="H541">
        <v>0.8540742469176821</v>
      </c>
      <c r="I541">
        <v>4124.119524</v>
      </c>
      <c r="J541">
        <v>4.767911548867365</v>
      </c>
      <c r="K541">
        <v>0.1068928969859427</v>
      </c>
      <c r="L541">
        <v>0.9850656999413371</v>
      </c>
      <c r="M541">
        <v>49.35</v>
      </c>
      <c r="N541">
        <v>34.07</v>
      </c>
    </row>
    <row r="542" spans="1:14">
      <c r="A542" s="1" t="s">
        <v>554</v>
      </c>
      <c r="B542">
        <f>HYPERLINK("https://www.suredividend.com/sure-analysis-research-database/","Esperion Therapeutics Inc.")</f>
        <v>0</v>
      </c>
      <c r="C542" t="s">
        <v>1922</v>
      </c>
      <c r="D542">
        <v>6.99</v>
      </c>
      <c r="E542">
        <v>0</v>
      </c>
      <c r="F542" t="s">
        <v>1921</v>
      </c>
      <c r="G542" t="s">
        <v>1921</v>
      </c>
      <c r="H542">
        <v>0</v>
      </c>
      <c r="I542">
        <v>515.048168</v>
      </c>
      <c r="J542">
        <v>0</v>
      </c>
      <c r="K542" t="s">
        <v>1921</v>
      </c>
      <c r="L542">
        <v>0.8302113033294251</v>
      </c>
      <c r="M542">
        <v>8.869999999999999</v>
      </c>
      <c r="N542">
        <v>3.28</v>
      </c>
    </row>
    <row r="543" spans="1:14">
      <c r="A543" s="1" t="s">
        <v>555</v>
      </c>
      <c r="B543">
        <f>HYPERLINK("https://www.suredividend.com/sure-analysis-ESRT/","Empire State Realty Trust Inc")</f>
        <v>0</v>
      </c>
      <c r="C543" t="s">
        <v>1929</v>
      </c>
      <c r="D543">
        <v>6.8</v>
      </c>
      <c r="E543">
        <v>0.02058823529411765</v>
      </c>
      <c r="F543" t="s">
        <v>1921</v>
      </c>
      <c r="G543" t="s">
        <v>1921</v>
      </c>
      <c r="H543">
        <v>0.138950818002394</v>
      </c>
      <c r="I543">
        <v>1090.916778</v>
      </c>
      <c r="J543">
        <v>53.05499359984437</v>
      </c>
      <c r="K543">
        <v>1.835545812449062</v>
      </c>
      <c r="L543">
        <v>1.005947195368075</v>
      </c>
      <c r="M543">
        <v>9.9</v>
      </c>
      <c r="N543">
        <v>6.21</v>
      </c>
    </row>
    <row r="544" spans="1:14">
      <c r="A544" s="1" t="s">
        <v>556</v>
      </c>
      <c r="B544">
        <f>HYPERLINK("https://www.suredividend.com/sure-analysis-research-database/","Earthstone Energy Inc")</f>
        <v>0</v>
      </c>
      <c r="C544" t="s">
        <v>1926</v>
      </c>
      <c r="D544">
        <v>13.6</v>
      </c>
      <c r="E544">
        <v>0</v>
      </c>
      <c r="F544" t="s">
        <v>1921</v>
      </c>
      <c r="G544" t="s">
        <v>1921</v>
      </c>
      <c r="H544">
        <v>0</v>
      </c>
      <c r="I544">
        <v>1433.670194</v>
      </c>
      <c r="J544">
        <v>0</v>
      </c>
      <c r="K544" t="s">
        <v>1921</v>
      </c>
      <c r="L544">
        <v>1.09466448269487</v>
      </c>
      <c r="M544">
        <v>22.25</v>
      </c>
      <c r="N544">
        <v>10.65</v>
      </c>
    </row>
    <row r="545" spans="1:14">
      <c r="A545" s="1" t="s">
        <v>557</v>
      </c>
      <c r="B545">
        <f>HYPERLINK("https://www.suredividend.com/sure-analysis-ETD/","Ethan Allen Interiors, Inc.")</f>
        <v>0</v>
      </c>
      <c r="C545" t="s">
        <v>1921</v>
      </c>
      <c r="D545">
        <v>27.87</v>
      </c>
      <c r="E545">
        <v>0.0459275206315034</v>
      </c>
      <c r="F545">
        <v>0.1034482758620692</v>
      </c>
      <c r="G545">
        <v>0.1098883056567086</v>
      </c>
      <c r="H545">
        <v>1.228125536356459</v>
      </c>
      <c r="I545">
        <v>706.432595</v>
      </c>
      <c r="J545">
        <v>6.251228644243278</v>
      </c>
      <c r="K545">
        <v>0.2778564561892441</v>
      </c>
      <c r="L545">
        <v>0.9292822739258091</v>
      </c>
      <c r="M545">
        <v>29.54</v>
      </c>
      <c r="N545">
        <v>19.14</v>
      </c>
    </row>
    <row r="546" spans="1:14">
      <c r="A546" s="1" t="s">
        <v>558</v>
      </c>
      <c r="B546">
        <f>HYPERLINK("https://www.suredividend.com/sure-analysis-research-database/","89bio Inc")</f>
        <v>0</v>
      </c>
      <c r="C546" t="s">
        <v>1922</v>
      </c>
      <c r="D546">
        <v>10.48</v>
      </c>
      <c r="E546">
        <v>0</v>
      </c>
      <c r="F546" t="s">
        <v>1921</v>
      </c>
      <c r="G546" t="s">
        <v>1921</v>
      </c>
      <c r="H546">
        <v>0</v>
      </c>
      <c r="I546">
        <v>487.707446</v>
      </c>
      <c r="J546">
        <v>0</v>
      </c>
      <c r="K546" t="s">
        <v>1921</v>
      </c>
      <c r="L546">
        <v>0.576119114795131</v>
      </c>
      <c r="M546">
        <v>13.25</v>
      </c>
      <c r="N546">
        <v>2</v>
      </c>
    </row>
    <row r="547" spans="1:14">
      <c r="A547" s="1" t="s">
        <v>559</v>
      </c>
      <c r="B547">
        <f>HYPERLINK("https://www.suredividend.com/sure-analysis-research-database/","Equitrans Midstream Corporation")</f>
        <v>0</v>
      </c>
      <c r="C547" t="s">
        <v>1926</v>
      </c>
      <c r="D547">
        <v>7.1</v>
      </c>
      <c r="E547">
        <v>0.082193063756808</v>
      </c>
      <c r="F547" t="s">
        <v>1921</v>
      </c>
      <c r="G547" t="s">
        <v>1921</v>
      </c>
      <c r="H547">
        <v>0.583570752673339</v>
      </c>
      <c r="I547">
        <v>3084.437359</v>
      </c>
      <c r="J547" t="s">
        <v>1921</v>
      </c>
      <c r="K547" t="s">
        <v>1921</v>
      </c>
      <c r="L547">
        <v>1.071843347859024</v>
      </c>
      <c r="M547">
        <v>10.4</v>
      </c>
      <c r="N547">
        <v>5.55</v>
      </c>
    </row>
    <row r="548" spans="1:14">
      <c r="A548" s="1" t="s">
        <v>560</v>
      </c>
      <c r="B548">
        <f>HYPERLINK("https://www.suredividend.com/sure-analysis-research-database/","E2open Parent Holdings Inc")</f>
        <v>0</v>
      </c>
      <c r="C548" t="s">
        <v>1921</v>
      </c>
      <c r="D548">
        <v>5.89</v>
      </c>
      <c r="E548">
        <v>0</v>
      </c>
      <c r="F548" t="s">
        <v>1921</v>
      </c>
      <c r="G548" t="s">
        <v>1921</v>
      </c>
      <c r="H548">
        <v>0</v>
      </c>
      <c r="I548">
        <v>1780.279512</v>
      </c>
      <c r="J548">
        <v>0</v>
      </c>
      <c r="K548" t="s">
        <v>1921</v>
      </c>
      <c r="L548">
        <v>1.513830323331434</v>
      </c>
      <c r="M548">
        <v>10.43</v>
      </c>
      <c r="N548">
        <v>4.89</v>
      </c>
    </row>
    <row r="549" spans="1:14">
      <c r="A549" s="1" t="s">
        <v>561</v>
      </c>
      <c r="B549">
        <f>HYPERLINK("https://www.suredividend.com/sure-analysis-research-database/","Entravision Communications Corp.")</f>
        <v>0</v>
      </c>
      <c r="C549" t="s">
        <v>1931</v>
      </c>
      <c r="D549">
        <v>5.11</v>
      </c>
      <c r="E549">
        <v>0.019425865220098</v>
      </c>
      <c r="F549">
        <v>0</v>
      </c>
      <c r="G549">
        <v>-0.1294494367038759</v>
      </c>
      <c r="H549">
        <v>0.09926617127470301</v>
      </c>
      <c r="I549">
        <v>314.088863</v>
      </c>
      <c r="J549">
        <v>13.30039650264662</v>
      </c>
      <c r="K549">
        <v>0.369431229157808</v>
      </c>
      <c r="L549">
        <v>1.252451639899833</v>
      </c>
      <c r="M549">
        <v>6.67</v>
      </c>
      <c r="N549">
        <v>3.94</v>
      </c>
    </row>
    <row r="550" spans="1:14">
      <c r="A550" s="1" t="s">
        <v>562</v>
      </c>
      <c r="B550">
        <f>HYPERLINK("https://www.suredividend.com/sure-analysis-research-database/","EverCommerce Inc")</f>
        <v>0</v>
      </c>
      <c r="C550" t="s">
        <v>1921</v>
      </c>
      <c r="D550">
        <v>8.039999999999999</v>
      </c>
      <c r="E550">
        <v>0</v>
      </c>
      <c r="F550" t="s">
        <v>1921</v>
      </c>
      <c r="G550" t="s">
        <v>1921</v>
      </c>
      <c r="H550">
        <v>0</v>
      </c>
      <c r="I550">
        <v>1553.337302</v>
      </c>
      <c r="J550">
        <v>0</v>
      </c>
      <c r="K550" t="s">
        <v>1921</v>
      </c>
      <c r="L550">
        <v>1.352404601013144</v>
      </c>
      <c r="M550">
        <v>14.22</v>
      </c>
      <c r="N550">
        <v>5.87</v>
      </c>
    </row>
    <row r="551" spans="1:14">
      <c r="A551" s="1" t="s">
        <v>563</v>
      </c>
      <c r="B551">
        <f>HYPERLINK("https://www.suredividend.com/sure-analysis-research-database/","EverQuote Inc")</f>
        <v>0</v>
      </c>
      <c r="C551" t="s">
        <v>1931</v>
      </c>
      <c r="D551">
        <v>15.38</v>
      </c>
      <c r="E551">
        <v>0</v>
      </c>
      <c r="F551" t="s">
        <v>1921</v>
      </c>
      <c r="G551" t="s">
        <v>1921</v>
      </c>
      <c r="H551">
        <v>0</v>
      </c>
      <c r="I551">
        <v>399.657405</v>
      </c>
      <c r="J551">
        <v>0</v>
      </c>
      <c r="K551" t="s">
        <v>1921</v>
      </c>
      <c r="L551">
        <v>1.344167133573629</v>
      </c>
      <c r="M551">
        <v>17.59</v>
      </c>
      <c r="N551">
        <v>5.23</v>
      </c>
    </row>
    <row r="552" spans="1:14">
      <c r="A552" s="1" t="s">
        <v>564</v>
      </c>
      <c r="B552">
        <f>HYPERLINK("https://www.suredividend.com/sure-analysis-research-database/","Evolent Health Inc")</f>
        <v>0</v>
      </c>
      <c r="C552" t="s">
        <v>1922</v>
      </c>
      <c r="D552">
        <v>27.82</v>
      </c>
      <c r="E552">
        <v>0</v>
      </c>
      <c r="F552" t="s">
        <v>1921</v>
      </c>
      <c r="G552" t="s">
        <v>1921</v>
      </c>
      <c r="H552">
        <v>0</v>
      </c>
      <c r="I552">
        <v>2815.132646</v>
      </c>
      <c r="J552" t="s">
        <v>1921</v>
      </c>
      <c r="K552">
        <v>-0</v>
      </c>
      <c r="L552">
        <v>1.054425648760039</v>
      </c>
      <c r="M552">
        <v>39.78</v>
      </c>
      <c r="N552">
        <v>21.36</v>
      </c>
    </row>
    <row r="553" spans="1:14">
      <c r="A553" s="1" t="s">
        <v>565</v>
      </c>
      <c r="B553">
        <f>HYPERLINK("https://www.suredividend.com/sure-analysis-research-database/","EVI Industries Inc")</f>
        <v>0</v>
      </c>
      <c r="C553" t="s">
        <v>1924</v>
      </c>
      <c r="D553">
        <v>20.91</v>
      </c>
      <c r="E553">
        <v>0</v>
      </c>
      <c r="F553" t="s">
        <v>1921</v>
      </c>
      <c r="G553" t="s">
        <v>1921</v>
      </c>
      <c r="H553">
        <v>0</v>
      </c>
      <c r="I553">
        <v>288.505077</v>
      </c>
      <c r="J553">
        <v>0</v>
      </c>
      <c r="K553" t="s">
        <v>1921</v>
      </c>
      <c r="L553">
        <v>0.5918589845972221</v>
      </c>
      <c r="M553">
        <v>30.16</v>
      </c>
      <c r="N553">
        <v>7.25</v>
      </c>
    </row>
    <row r="554" spans="1:14">
      <c r="A554" s="1" t="s">
        <v>566</v>
      </c>
      <c r="B554">
        <f>HYPERLINK("https://www.suredividend.com/sure-analysis-research-database/","Evelo Biosciences Inc")</f>
        <v>0</v>
      </c>
      <c r="C554" t="s">
        <v>1922</v>
      </c>
      <c r="D554">
        <v>1.33</v>
      </c>
      <c r="E554">
        <v>0</v>
      </c>
      <c r="F554" t="s">
        <v>1921</v>
      </c>
      <c r="G554" t="s">
        <v>1921</v>
      </c>
      <c r="H554">
        <v>0</v>
      </c>
      <c r="I554">
        <v>143.631626</v>
      </c>
      <c r="J554">
        <v>0</v>
      </c>
      <c r="K554" t="s">
        <v>1921</v>
      </c>
      <c r="L554">
        <v>1.304396251120567</v>
      </c>
      <c r="M554">
        <v>5.98</v>
      </c>
      <c r="N554">
        <v>1.15</v>
      </c>
    </row>
    <row r="555" spans="1:14">
      <c r="A555" s="1" t="s">
        <v>567</v>
      </c>
      <c r="B555">
        <f>HYPERLINK("https://www.suredividend.com/sure-analysis-research-database/","EVO Payments Inc")</f>
        <v>0</v>
      </c>
      <c r="C555" t="s">
        <v>1920</v>
      </c>
      <c r="D555">
        <v>33.86</v>
      </c>
      <c r="E555">
        <v>0</v>
      </c>
      <c r="F555" t="s">
        <v>1921</v>
      </c>
      <c r="G555" t="s">
        <v>1921</v>
      </c>
      <c r="H555">
        <v>0</v>
      </c>
      <c r="I555">
        <v>1635.303508</v>
      </c>
      <c r="J555">
        <v>2539.291161614907</v>
      </c>
      <c r="K555">
        <v>0</v>
      </c>
      <c r="L555">
        <v>0.573184011558135</v>
      </c>
      <c r="M555">
        <v>33.97</v>
      </c>
      <c r="N555">
        <v>21.01</v>
      </c>
    </row>
    <row r="556" spans="1:14">
      <c r="A556" s="1" t="s">
        <v>568</v>
      </c>
      <c r="B556">
        <f>HYPERLINK("https://www.suredividend.com/sure-analysis-research-database/","Everi Holdings Inc")</f>
        <v>0</v>
      </c>
      <c r="C556" t="s">
        <v>1927</v>
      </c>
      <c r="D556">
        <v>15.06</v>
      </c>
      <c r="E556">
        <v>0</v>
      </c>
      <c r="F556" t="s">
        <v>1921</v>
      </c>
      <c r="G556" t="s">
        <v>1921</v>
      </c>
      <c r="H556">
        <v>0</v>
      </c>
      <c r="I556">
        <v>1347.369014</v>
      </c>
      <c r="J556">
        <v>7.367382501599383</v>
      </c>
      <c r="K556">
        <v>0</v>
      </c>
      <c r="L556">
        <v>1.317098755260028</v>
      </c>
      <c r="M556">
        <v>24.23</v>
      </c>
      <c r="N556">
        <v>13.52</v>
      </c>
    </row>
    <row r="557" spans="1:14">
      <c r="A557" s="1" t="s">
        <v>569</v>
      </c>
      <c r="B557">
        <f>HYPERLINK("https://www.suredividend.com/sure-analysis-research-database/","Evertec Inc")</f>
        <v>0</v>
      </c>
      <c r="C557" t="s">
        <v>1920</v>
      </c>
      <c r="D557">
        <v>33.7</v>
      </c>
      <c r="E557">
        <v>0.005922906366665001</v>
      </c>
      <c r="F557" t="s">
        <v>1921</v>
      </c>
      <c r="G557" t="s">
        <v>1921</v>
      </c>
      <c r="H557">
        <v>0.199601944556641</v>
      </c>
      <c r="I557">
        <v>2197.314005</v>
      </c>
      <c r="J557">
        <v>8.739719291853774</v>
      </c>
      <c r="K557">
        <v>0.05654446021434589</v>
      </c>
      <c r="L557">
        <v>0.850107504330275</v>
      </c>
      <c r="M557">
        <v>48.59</v>
      </c>
      <c r="N557">
        <v>30.17</v>
      </c>
    </row>
    <row r="558" spans="1:14">
      <c r="A558" s="1" t="s">
        <v>570</v>
      </c>
      <c r="B558">
        <f>HYPERLINK("https://www.suredividend.com/sure-analysis-research-database/","European Wax Center Inc")</f>
        <v>0</v>
      </c>
      <c r="C558" t="s">
        <v>1921</v>
      </c>
      <c r="D558">
        <v>15.66</v>
      </c>
      <c r="E558">
        <v>0</v>
      </c>
      <c r="F558" t="s">
        <v>1921</v>
      </c>
      <c r="G558" t="s">
        <v>1921</v>
      </c>
      <c r="H558">
        <v>0</v>
      </c>
      <c r="I558">
        <v>708.857119</v>
      </c>
      <c r="J558">
        <v>0</v>
      </c>
      <c r="K558" t="s">
        <v>1921</v>
      </c>
      <c r="L558">
        <v>1.268226762461984</v>
      </c>
      <c r="M558">
        <v>31.25</v>
      </c>
      <c r="N558">
        <v>12.02</v>
      </c>
    </row>
    <row r="559" spans="1:14">
      <c r="A559" s="1" t="s">
        <v>571</v>
      </c>
      <c r="B559">
        <f>HYPERLINK("https://www.suredividend.com/sure-analysis-research-database/","Edgewise Therapeutics Inc")</f>
        <v>0</v>
      </c>
      <c r="C559" t="s">
        <v>1921</v>
      </c>
      <c r="D559">
        <v>9.17</v>
      </c>
      <c r="E559">
        <v>0</v>
      </c>
      <c r="F559" t="s">
        <v>1921</v>
      </c>
      <c r="G559" t="s">
        <v>1921</v>
      </c>
      <c r="H559">
        <v>0</v>
      </c>
      <c r="I559">
        <v>579.668327</v>
      </c>
      <c r="J559">
        <v>0</v>
      </c>
      <c r="K559" t="s">
        <v>1921</v>
      </c>
      <c r="L559">
        <v>1.426076474634998</v>
      </c>
      <c r="M559">
        <v>19.48</v>
      </c>
      <c r="N559">
        <v>5.41</v>
      </c>
    </row>
    <row r="560" spans="1:14">
      <c r="A560" s="1" t="s">
        <v>572</v>
      </c>
      <c r="B560">
        <f>HYPERLINK("https://www.suredividend.com/sure-analysis-research-database/","Exlservice Hldgs Inc")</f>
        <v>0</v>
      </c>
      <c r="C560" t="s">
        <v>1920</v>
      </c>
      <c r="D560">
        <v>168.81</v>
      </c>
      <c r="E560">
        <v>0</v>
      </c>
      <c r="F560" t="s">
        <v>1921</v>
      </c>
      <c r="G560" t="s">
        <v>1921</v>
      </c>
      <c r="H560">
        <v>0</v>
      </c>
      <c r="I560">
        <v>5581.636983</v>
      </c>
      <c r="J560">
        <v>40.03526792028289</v>
      </c>
      <c r="K560">
        <v>0</v>
      </c>
      <c r="L560">
        <v>0.9639937142188031</v>
      </c>
      <c r="M560">
        <v>191.18</v>
      </c>
      <c r="N560">
        <v>112.14</v>
      </c>
    </row>
    <row r="561" spans="1:14">
      <c r="A561" s="1" t="s">
        <v>573</v>
      </c>
      <c r="B561">
        <f>HYPERLINK("https://www.suredividend.com/sure-analysis-research-database/","eXp World Holdings Inc")</f>
        <v>0</v>
      </c>
      <c r="C561" t="s">
        <v>1929</v>
      </c>
      <c r="D561">
        <v>11.51</v>
      </c>
      <c r="E561">
        <v>0.014645561601825</v>
      </c>
      <c r="F561" t="s">
        <v>1921</v>
      </c>
      <c r="G561" t="s">
        <v>1921</v>
      </c>
      <c r="H561">
        <v>0.168570414037012</v>
      </c>
      <c r="I561">
        <v>1757.600918</v>
      </c>
      <c r="J561">
        <v>46.07562831699261</v>
      </c>
      <c r="K561">
        <v>0.6917128191916784</v>
      </c>
      <c r="L561">
        <v>2.02392016571339</v>
      </c>
      <c r="M561">
        <v>30.85</v>
      </c>
      <c r="N561">
        <v>9.960000000000001</v>
      </c>
    </row>
    <row r="562" spans="1:14">
      <c r="A562" s="1" t="s">
        <v>574</v>
      </c>
      <c r="B562">
        <f>HYPERLINK("https://www.suredividend.com/sure-analysis-EXPO/","Exponent Inc.")</f>
        <v>0</v>
      </c>
      <c r="C562" t="s">
        <v>1924</v>
      </c>
      <c r="D562">
        <v>98.15000000000001</v>
      </c>
      <c r="E562">
        <v>0.009780947529291898</v>
      </c>
      <c r="F562">
        <v>0.2</v>
      </c>
      <c r="G562">
        <v>-0.01588108586647574</v>
      </c>
      <c r="H562">
        <v>0.9564500146952051</v>
      </c>
      <c r="I562">
        <v>4970.142176</v>
      </c>
      <c r="J562">
        <v>49.6091487468309</v>
      </c>
      <c r="K562">
        <v>0.5033947445764237</v>
      </c>
      <c r="L562">
        <v>0.8169040558493741</v>
      </c>
      <c r="M562">
        <v>111.21</v>
      </c>
      <c r="N562">
        <v>80.56999999999999</v>
      </c>
    </row>
    <row r="563" spans="1:14">
      <c r="A563" s="1" t="s">
        <v>575</v>
      </c>
      <c r="B563">
        <f>HYPERLINK("https://www.suredividend.com/sure-analysis-research-database/","Extreme Networks Inc.")</f>
        <v>0</v>
      </c>
      <c r="C563" t="s">
        <v>1920</v>
      </c>
      <c r="D563">
        <v>19.19</v>
      </c>
      <c r="E563">
        <v>0</v>
      </c>
      <c r="F563" t="s">
        <v>1921</v>
      </c>
      <c r="G563" t="s">
        <v>1921</v>
      </c>
      <c r="H563">
        <v>0</v>
      </c>
      <c r="I563">
        <v>2520.515655</v>
      </c>
      <c r="J563">
        <v>57.07689435099638</v>
      </c>
      <c r="K563">
        <v>0</v>
      </c>
      <c r="L563">
        <v>1.370647247738176</v>
      </c>
      <c r="M563">
        <v>21.03</v>
      </c>
      <c r="N563">
        <v>8.49</v>
      </c>
    </row>
    <row r="564" spans="1:14">
      <c r="A564" s="1" t="s">
        <v>576</v>
      </c>
      <c r="B564">
        <f>HYPERLINK("https://www.suredividend.com/sure-analysis-research-database/","National Vision Holdings Inc")</f>
        <v>0</v>
      </c>
      <c r="C564" t="s">
        <v>1927</v>
      </c>
      <c r="D564">
        <v>39.83</v>
      </c>
      <c r="E564">
        <v>0</v>
      </c>
      <c r="F564" t="s">
        <v>1921</v>
      </c>
      <c r="G564" t="s">
        <v>1921</v>
      </c>
      <c r="H564">
        <v>0</v>
      </c>
      <c r="I564">
        <v>3143.083242</v>
      </c>
      <c r="J564">
        <v>54.56552275910558</v>
      </c>
      <c r="K564">
        <v>0</v>
      </c>
      <c r="L564">
        <v>1.257821643013789</v>
      </c>
      <c r="M564">
        <v>45.86</v>
      </c>
      <c r="N564">
        <v>22.59</v>
      </c>
    </row>
    <row r="565" spans="1:14">
      <c r="A565" s="1" t="s">
        <v>577</v>
      </c>
      <c r="B565">
        <f>HYPERLINK("https://www.suredividend.com/sure-analysis-research-database/","EyePoint Pharmaceuticals Inc")</f>
        <v>0</v>
      </c>
      <c r="C565" t="s">
        <v>1922</v>
      </c>
      <c r="D565">
        <v>3.27</v>
      </c>
      <c r="E565">
        <v>0</v>
      </c>
      <c r="F565" t="s">
        <v>1921</v>
      </c>
      <c r="G565" t="s">
        <v>1921</v>
      </c>
      <c r="H565">
        <v>0</v>
      </c>
      <c r="I565">
        <v>111.451194</v>
      </c>
      <c r="J565">
        <v>0</v>
      </c>
      <c r="K565" t="s">
        <v>1921</v>
      </c>
      <c r="L565">
        <v>0.932752095829773</v>
      </c>
      <c r="M565">
        <v>14.41</v>
      </c>
      <c r="N565">
        <v>2.19</v>
      </c>
    </row>
    <row r="566" spans="1:14">
      <c r="A566" s="1" t="s">
        <v>578</v>
      </c>
      <c r="B566">
        <f>HYPERLINK("https://www.suredividend.com/sure-analysis-research-database/","EZCorp, Inc.")</f>
        <v>0</v>
      </c>
      <c r="C566" t="s">
        <v>1923</v>
      </c>
      <c r="D566">
        <v>8.82</v>
      </c>
      <c r="E566">
        <v>0</v>
      </c>
      <c r="F566" t="s">
        <v>1921</v>
      </c>
      <c r="G566" t="s">
        <v>1921</v>
      </c>
      <c r="H566">
        <v>0</v>
      </c>
      <c r="I566">
        <v>470.44983</v>
      </c>
      <c r="J566">
        <v>9.378983852870814</v>
      </c>
      <c r="K566">
        <v>0</v>
      </c>
      <c r="L566">
        <v>0.673975662969705</v>
      </c>
      <c r="M566">
        <v>10.68</v>
      </c>
      <c r="N566">
        <v>5.51</v>
      </c>
    </row>
    <row r="567" spans="1:14">
      <c r="A567" s="1" t="s">
        <v>579</v>
      </c>
      <c r="B567">
        <f>HYPERLINK("https://www.suredividend.com/sure-analysis-research-database/","First Advantage Corp.")</f>
        <v>0</v>
      </c>
      <c r="C567" t="s">
        <v>1921</v>
      </c>
      <c r="D567">
        <v>13.26</v>
      </c>
      <c r="E567">
        <v>0</v>
      </c>
      <c r="F567" t="s">
        <v>1921</v>
      </c>
      <c r="G567" t="s">
        <v>1921</v>
      </c>
      <c r="H567">
        <v>0</v>
      </c>
      <c r="I567">
        <v>2014.585462</v>
      </c>
      <c r="J567">
        <v>0</v>
      </c>
      <c r="K567" t="s">
        <v>1921</v>
      </c>
      <c r="L567">
        <v>1.083099846855031</v>
      </c>
      <c r="M567">
        <v>21.01</v>
      </c>
      <c r="N567">
        <v>10.07</v>
      </c>
    </row>
    <row r="568" spans="1:14">
      <c r="A568" s="1" t="s">
        <v>580</v>
      </c>
      <c r="B568">
        <f>HYPERLINK("https://www.suredividend.com/sure-analysis-research-database/","Faro Technologies Inc.")</f>
        <v>0</v>
      </c>
      <c r="C568" t="s">
        <v>1920</v>
      </c>
      <c r="D568">
        <v>31.35</v>
      </c>
      <c r="E568">
        <v>0</v>
      </c>
      <c r="F568" t="s">
        <v>1921</v>
      </c>
      <c r="G568" t="s">
        <v>1921</v>
      </c>
      <c r="H568">
        <v>0</v>
      </c>
      <c r="I568">
        <v>588.7472320000001</v>
      </c>
      <c r="J568" t="s">
        <v>1921</v>
      </c>
      <c r="K568">
        <v>-0</v>
      </c>
      <c r="L568">
        <v>1.204887578053304</v>
      </c>
      <c r="M568">
        <v>65.48999999999999</v>
      </c>
      <c r="N568">
        <v>25.2</v>
      </c>
    </row>
    <row r="569" spans="1:14">
      <c r="A569" s="1" t="s">
        <v>581</v>
      </c>
      <c r="B569">
        <f>HYPERLINK("https://www.suredividend.com/sure-analysis-research-database/","Fate Therapeutics Inc")</f>
        <v>0</v>
      </c>
      <c r="C569" t="s">
        <v>1922</v>
      </c>
      <c r="D569">
        <v>5.27</v>
      </c>
      <c r="E569">
        <v>0</v>
      </c>
      <c r="F569" t="s">
        <v>1921</v>
      </c>
      <c r="G569" t="s">
        <v>1921</v>
      </c>
      <c r="H569">
        <v>0</v>
      </c>
      <c r="I569">
        <v>512.0882350000001</v>
      </c>
      <c r="J569" t="s">
        <v>1921</v>
      </c>
      <c r="K569">
        <v>-0</v>
      </c>
      <c r="L569">
        <v>1.834815604712224</v>
      </c>
      <c r="M569">
        <v>49.51</v>
      </c>
      <c r="N569">
        <v>4.02</v>
      </c>
    </row>
    <row r="570" spans="1:14">
      <c r="A570" s="1" t="s">
        <v>582</v>
      </c>
      <c r="B570">
        <f>HYPERLINK("https://www.suredividend.com/sure-analysis-research-database/","Flagstar Bancorp, Inc.")</f>
        <v>0</v>
      </c>
      <c r="C570" t="s">
        <v>1923</v>
      </c>
      <c r="D570">
        <v>37.54</v>
      </c>
      <c r="E570">
        <v>0.006377948474633001</v>
      </c>
      <c r="F570" t="s">
        <v>1921</v>
      </c>
      <c r="G570" t="s">
        <v>1921</v>
      </c>
      <c r="H570">
        <v>0.239428185737723</v>
      </c>
      <c r="I570">
        <v>2002.268577</v>
      </c>
      <c r="J570">
        <v>7.388444935202951</v>
      </c>
      <c r="K570">
        <v>0.04731782326832471</v>
      </c>
      <c r="M570">
        <v>52.97</v>
      </c>
      <c r="N570">
        <v>30.77</v>
      </c>
    </row>
    <row r="571" spans="1:14">
      <c r="A571" s="1" t="s">
        <v>583</v>
      </c>
      <c r="B571">
        <f>HYPERLINK("https://www.suredividend.com/sure-analysis-research-database/","Fortress Biotech Inc")</f>
        <v>0</v>
      </c>
      <c r="C571" t="s">
        <v>1922</v>
      </c>
      <c r="D571">
        <v>0.8001</v>
      </c>
      <c r="E571">
        <v>0</v>
      </c>
      <c r="F571" t="s">
        <v>1921</v>
      </c>
      <c r="G571" t="s">
        <v>1921</v>
      </c>
      <c r="H571">
        <v>0</v>
      </c>
      <c r="I571">
        <v>86.19862999999999</v>
      </c>
      <c r="J571">
        <v>0</v>
      </c>
      <c r="K571" t="s">
        <v>1921</v>
      </c>
      <c r="L571">
        <v>1.371721625614072</v>
      </c>
      <c r="M571">
        <v>2.5</v>
      </c>
      <c r="N571">
        <v>0.4802</v>
      </c>
    </row>
    <row r="572" spans="1:14">
      <c r="A572" s="1" t="s">
        <v>584</v>
      </c>
      <c r="B572">
        <f>HYPERLINK("https://www.suredividend.com/sure-analysis-research-database/","FB Financial Corp")</f>
        <v>0</v>
      </c>
      <c r="C572" t="s">
        <v>1923</v>
      </c>
      <c r="D572">
        <v>36.53</v>
      </c>
      <c r="E572">
        <v>0.014168598356137</v>
      </c>
      <c r="F572" t="s">
        <v>1921</v>
      </c>
      <c r="G572" t="s">
        <v>1921</v>
      </c>
      <c r="H572">
        <v>0.517578897949694</v>
      </c>
      <c r="I572">
        <v>1714.351366</v>
      </c>
      <c r="J572">
        <v>12.67645698163991</v>
      </c>
      <c r="K572">
        <v>0.1816066308595418</v>
      </c>
      <c r="L572">
        <v>0.77970723066959</v>
      </c>
      <c r="M572">
        <v>46.95</v>
      </c>
      <c r="N572">
        <v>34.02</v>
      </c>
    </row>
    <row r="573" spans="1:14">
      <c r="A573" s="1" t="s">
        <v>585</v>
      </c>
      <c r="B573">
        <f>HYPERLINK("https://www.suredividend.com/sure-analysis-research-database/","First Bancshares Inc Miss")</f>
        <v>0</v>
      </c>
      <c r="C573" t="s">
        <v>1923</v>
      </c>
      <c r="D573">
        <v>30.21</v>
      </c>
      <c r="E573">
        <v>0.024279914185324</v>
      </c>
      <c r="F573">
        <v>0.25</v>
      </c>
      <c r="G573">
        <v>0.3195079107728942</v>
      </c>
      <c r="H573">
        <v>0.7334962075386391</v>
      </c>
      <c r="I573">
        <v>725.882708</v>
      </c>
      <c r="J573">
        <v>11.62975371619457</v>
      </c>
      <c r="K573">
        <v>0.251197331348849</v>
      </c>
      <c r="L573">
        <v>0.5696920514221601</v>
      </c>
      <c r="M573">
        <v>39.1</v>
      </c>
      <c r="N573">
        <v>26.61</v>
      </c>
    </row>
    <row r="574" spans="1:14">
      <c r="A574" s="1" t="s">
        <v>586</v>
      </c>
      <c r="B574">
        <f>HYPERLINK("https://www.suredividend.com/sure-analysis-research-database/","First Bancorp")</f>
        <v>0</v>
      </c>
      <c r="C574" t="s">
        <v>1923</v>
      </c>
      <c r="D574">
        <v>41.09</v>
      </c>
      <c r="E574">
        <v>0.026593185512983</v>
      </c>
      <c r="F574">
        <v>0.09999999999999987</v>
      </c>
      <c r="G574">
        <v>0.1708049129648923</v>
      </c>
      <c r="H574">
        <v>1.092713992728481</v>
      </c>
      <c r="I574">
        <v>1467.395972</v>
      </c>
      <c r="J574">
        <v>12.39469859412615</v>
      </c>
      <c r="K574">
        <v>0.3261832814114868</v>
      </c>
      <c r="L574">
        <v>0.7041435182569871</v>
      </c>
      <c r="M574">
        <v>48.75</v>
      </c>
      <c r="N574">
        <v>32.54</v>
      </c>
    </row>
    <row r="575" spans="1:14">
      <c r="A575" s="1" t="s">
        <v>587</v>
      </c>
      <c r="B575">
        <f>HYPERLINK("https://www.suredividend.com/sure-analysis-research-database/","First Bancorp PR")</f>
        <v>0</v>
      </c>
      <c r="C575" t="s">
        <v>1923</v>
      </c>
      <c r="D575">
        <v>13.17</v>
      </c>
      <c r="E575">
        <v>0.034529257041793</v>
      </c>
      <c r="F575" t="s">
        <v>1921</v>
      </c>
      <c r="G575" t="s">
        <v>1921</v>
      </c>
      <c r="H575">
        <v>0.454750315240416</v>
      </c>
      <c r="I575">
        <v>2431.333811</v>
      </c>
      <c r="J575">
        <v>8.001572485050533</v>
      </c>
      <c r="K575">
        <v>0.2933873001551071</v>
      </c>
      <c r="L575">
        <v>1.034066645260371</v>
      </c>
      <c r="M575">
        <v>16.14</v>
      </c>
      <c r="N575">
        <v>11.65</v>
      </c>
    </row>
    <row r="576" spans="1:14">
      <c r="A576" s="1" t="s">
        <v>588</v>
      </c>
      <c r="B576">
        <f>HYPERLINK("https://www.suredividend.com/sure-analysis-research-database/","Franklin BSP Realty Trust Inc.")</f>
        <v>0</v>
      </c>
      <c r="C576" t="s">
        <v>1921</v>
      </c>
      <c r="D576">
        <v>13.54</v>
      </c>
      <c r="E576">
        <v>0.100662449763914</v>
      </c>
      <c r="F576" t="s">
        <v>1921</v>
      </c>
      <c r="G576" t="s">
        <v>1921</v>
      </c>
      <c r="H576">
        <v>1.362969569803407</v>
      </c>
      <c r="I576">
        <v>1116.77572</v>
      </c>
      <c r="J576">
        <v>0</v>
      </c>
      <c r="K576" t="s">
        <v>1921</v>
      </c>
      <c r="L576">
        <v>0.766460856520341</v>
      </c>
      <c r="M576">
        <v>14.97</v>
      </c>
      <c r="N576">
        <v>10.06</v>
      </c>
    </row>
    <row r="577" spans="1:14">
      <c r="A577" s="1" t="s">
        <v>589</v>
      </c>
      <c r="B577">
        <f>HYPERLINK("https://www.suredividend.com/sure-analysis-research-database/","Forte Biosciences Inc")</f>
        <v>0</v>
      </c>
      <c r="C577" t="s">
        <v>1921</v>
      </c>
      <c r="D577">
        <v>1</v>
      </c>
      <c r="E577">
        <v>0</v>
      </c>
      <c r="F577" t="s">
        <v>1921</v>
      </c>
      <c r="G577" t="s">
        <v>1921</v>
      </c>
      <c r="H577">
        <v>0</v>
      </c>
      <c r="I577">
        <v>20.340265</v>
      </c>
      <c r="J577" t="s">
        <v>1921</v>
      </c>
      <c r="K577">
        <v>-0</v>
      </c>
      <c r="L577">
        <v>0.9872936976792611</v>
      </c>
      <c r="M577">
        <v>1.86</v>
      </c>
      <c r="N577">
        <v>0.8977000000000001</v>
      </c>
    </row>
    <row r="578" spans="1:14">
      <c r="A578" s="1" t="s">
        <v>590</v>
      </c>
      <c r="B578">
        <f>HYPERLINK("https://www.suredividend.com/sure-analysis-research-database/","Franklin Covey Co.")</f>
        <v>0</v>
      </c>
      <c r="C578" t="s">
        <v>1924</v>
      </c>
      <c r="D578">
        <v>44.13</v>
      </c>
      <c r="E578">
        <v>0</v>
      </c>
      <c r="F578" t="s">
        <v>1921</v>
      </c>
      <c r="G578" t="s">
        <v>1921</v>
      </c>
      <c r="H578">
        <v>0</v>
      </c>
      <c r="I578">
        <v>613.254575</v>
      </c>
      <c r="J578">
        <v>41.83468005866703</v>
      </c>
      <c r="K578">
        <v>0</v>
      </c>
      <c r="L578">
        <v>0.835759362073177</v>
      </c>
      <c r="M578">
        <v>54.7</v>
      </c>
      <c r="N578">
        <v>34</v>
      </c>
    </row>
    <row r="579" spans="1:14">
      <c r="A579" s="1" t="s">
        <v>591</v>
      </c>
      <c r="B579">
        <f>HYPERLINK("https://www.suredividend.com/sure-analysis-research-database/","First Community Bankshares Inc.")</f>
        <v>0</v>
      </c>
      <c r="C579" t="s">
        <v>1923</v>
      </c>
      <c r="D579">
        <v>32.94</v>
      </c>
      <c r="E579">
        <v>0.03357817721947801</v>
      </c>
      <c r="F579">
        <v>0.07407407407407396</v>
      </c>
      <c r="G579">
        <v>-0.09586901681691762</v>
      </c>
      <c r="H579">
        <v>1.106065157609606</v>
      </c>
      <c r="I579">
        <v>540.625905</v>
      </c>
      <c r="J579">
        <v>12.11242338486356</v>
      </c>
      <c r="K579">
        <v>0.4158139690261677</v>
      </c>
      <c r="L579">
        <v>0.5704562557176901</v>
      </c>
      <c r="M579">
        <v>39.39</v>
      </c>
      <c r="N579">
        <v>25.81</v>
      </c>
    </row>
    <row r="580" spans="1:14">
      <c r="A580" s="1" t="s">
        <v>592</v>
      </c>
      <c r="B580">
        <f>HYPERLINK("https://www.suredividend.com/sure-analysis-research-database/","Fuelcell Energy Inc")</f>
        <v>0</v>
      </c>
      <c r="C580" t="s">
        <v>1924</v>
      </c>
      <c r="D580">
        <v>2.95</v>
      </c>
      <c r="E580">
        <v>0</v>
      </c>
      <c r="F580" t="s">
        <v>1921</v>
      </c>
      <c r="G580" t="s">
        <v>1921</v>
      </c>
      <c r="H580">
        <v>0</v>
      </c>
      <c r="I580">
        <v>1196.883098</v>
      </c>
      <c r="J580" t="s">
        <v>1921</v>
      </c>
      <c r="K580">
        <v>-0</v>
      </c>
      <c r="L580">
        <v>2.157106572848342</v>
      </c>
      <c r="M580">
        <v>7.33</v>
      </c>
      <c r="N580">
        <v>2.47</v>
      </c>
    </row>
    <row r="581" spans="1:14">
      <c r="A581" s="1" t="s">
        <v>593</v>
      </c>
      <c r="B581">
        <f>HYPERLINK("https://www.suredividend.com/sure-analysis-research-database/","First Commonwealth Financial Corp.")</f>
        <v>0</v>
      </c>
      <c r="C581" t="s">
        <v>1923</v>
      </c>
      <c r="D581">
        <v>14.04</v>
      </c>
      <c r="E581">
        <v>0.033413701833762</v>
      </c>
      <c r="F581">
        <v>0.04347826086956519</v>
      </c>
      <c r="G581">
        <v>0.08447177119769855</v>
      </c>
      <c r="H581">
        <v>0.469128373746018</v>
      </c>
      <c r="I581">
        <v>1311.003449</v>
      </c>
      <c r="J581">
        <v>10.30468660441426</v>
      </c>
      <c r="K581">
        <v>0.3475024990711244</v>
      </c>
      <c r="L581">
        <v>0.6580351969607341</v>
      </c>
      <c r="M581">
        <v>17.07</v>
      </c>
      <c r="N581">
        <v>12.65</v>
      </c>
    </row>
    <row r="582" spans="1:14">
      <c r="A582" s="1" t="s">
        <v>594</v>
      </c>
      <c r="B582">
        <f>HYPERLINK("https://www.suredividend.com/sure-analysis-research-database/","FirstCash Holdings Inc")</f>
        <v>0</v>
      </c>
      <c r="C582" t="s">
        <v>1923</v>
      </c>
      <c r="D582">
        <v>90.13</v>
      </c>
      <c r="E582">
        <v>0.01390175542967</v>
      </c>
      <c r="F582">
        <v>0.09999999999999987</v>
      </c>
      <c r="G582">
        <v>0.08447177119769855</v>
      </c>
      <c r="H582">
        <v>1.2529652168762</v>
      </c>
      <c r="I582">
        <v>4174.647198</v>
      </c>
      <c r="J582">
        <v>20.58504535724852</v>
      </c>
      <c r="K582">
        <v>0.2847648220173182</v>
      </c>
      <c r="L582">
        <v>0.8807411654189561</v>
      </c>
      <c r="M582">
        <v>99.65000000000001</v>
      </c>
      <c r="N582">
        <v>57.61</v>
      </c>
    </row>
    <row r="583" spans="1:14">
      <c r="A583" s="1" t="s">
        <v>595</v>
      </c>
      <c r="B583">
        <f>HYPERLINK("https://www.suredividend.com/sure-analysis-FCPT/","Four Corners Property Trust Inc")</f>
        <v>0</v>
      </c>
      <c r="C583" t="s">
        <v>1929</v>
      </c>
      <c r="D583">
        <v>27.18</v>
      </c>
      <c r="E583">
        <v>0.05003679175864607</v>
      </c>
      <c r="F583">
        <v>0.02255639097744355</v>
      </c>
      <c r="G583">
        <v>0.0433481363609951</v>
      </c>
      <c r="H583">
        <v>1.311753562262501</v>
      </c>
      <c r="I583">
        <v>2280.056624</v>
      </c>
      <c r="J583">
        <v>23.12360297090352</v>
      </c>
      <c r="K583">
        <v>1.066466310782521</v>
      </c>
      <c r="L583">
        <v>0.5366683619550811</v>
      </c>
      <c r="M583">
        <v>28.98</v>
      </c>
      <c r="N583">
        <v>22.38</v>
      </c>
    </row>
    <row r="584" spans="1:14">
      <c r="A584" s="1" t="s">
        <v>596</v>
      </c>
      <c r="B584">
        <f>HYPERLINK("https://www.suredividend.com/sure-analysis-research-database/","Fidelity D&amp;D Bancorp, Inc.")</f>
        <v>0</v>
      </c>
      <c r="C584" t="s">
        <v>1923</v>
      </c>
      <c r="D584">
        <v>45.625</v>
      </c>
      <c r="E584">
        <v>0.029243008947881</v>
      </c>
      <c r="F584">
        <v>0.09090909090909083</v>
      </c>
      <c r="G584">
        <v>0.08447177119769855</v>
      </c>
      <c r="H584">
        <v>1.334212283247093</v>
      </c>
      <c r="I584">
        <v>256.905113</v>
      </c>
      <c r="J584">
        <v>0</v>
      </c>
      <c r="K584" t="s">
        <v>1921</v>
      </c>
      <c r="M584">
        <v>53.48</v>
      </c>
      <c r="N584">
        <v>33.36</v>
      </c>
    </row>
    <row r="585" spans="1:14">
      <c r="A585" s="1" t="s">
        <v>597</v>
      </c>
      <c r="B585">
        <f>HYPERLINK("https://www.suredividend.com/sure-analysis-research-database/","4D Molecular Therapeutics Inc")</f>
        <v>0</v>
      </c>
      <c r="C585" t="s">
        <v>1921</v>
      </c>
      <c r="D585">
        <v>20.83</v>
      </c>
      <c r="E585">
        <v>0</v>
      </c>
      <c r="F585" t="s">
        <v>1921</v>
      </c>
      <c r="G585" t="s">
        <v>1921</v>
      </c>
      <c r="H585">
        <v>0</v>
      </c>
      <c r="I585">
        <v>674.733234</v>
      </c>
      <c r="J585">
        <v>0</v>
      </c>
      <c r="K585" t="s">
        <v>1921</v>
      </c>
      <c r="L585">
        <v>1.416338077612088</v>
      </c>
      <c r="M585">
        <v>26.49</v>
      </c>
      <c r="N585">
        <v>5.32</v>
      </c>
    </row>
    <row r="586" spans="1:14">
      <c r="A586" s="1" t="s">
        <v>598</v>
      </c>
      <c r="B586">
        <f>HYPERLINK("https://www.suredividend.com/sure-analysis-research-database/","Fresh Del Monte Produce Inc")</f>
        <v>0</v>
      </c>
      <c r="C586" t="s">
        <v>1928</v>
      </c>
      <c r="D586">
        <v>26.67</v>
      </c>
      <c r="E586">
        <v>0.022315154724245</v>
      </c>
      <c r="F586" t="s">
        <v>1921</v>
      </c>
      <c r="G586" t="s">
        <v>1921</v>
      </c>
      <c r="H586">
        <v>0.595145176495639</v>
      </c>
      <c r="I586">
        <v>1276.082184</v>
      </c>
      <c r="J586">
        <v>18.4671806609262</v>
      </c>
      <c r="K586">
        <v>0.4132952614553049</v>
      </c>
      <c r="L586">
        <v>0.490343475572052</v>
      </c>
      <c r="M586">
        <v>31.11</v>
      </c>
      <c r="N586">
        <v>22.39</v>
      </c>
    </row>
    <row r="587" spans="1:14">
      <c r="A587" s="1" t="s">
        <v>599</v>
      </c>
      <c r="B587">
        <f>HYPERLINK("https://www.suredividend.com/sure-analysis-FELE/","Franklin Electric Co., Inc.")</f>
        <v>0</v>
      </c>
      <c r="C587" t="s">
        <v>1924</v>
      </c>
      <c r="D587">
        <v>81.61</v>
      </c>
      <c r="E587">
        <v>0.009557652248498959</v>
      </c>
      <c r="F587">
        <v>0.1142857142857143</v>
      </c>
      <c r="G587">
        <v>0.1264845234709517</v>
      </c>
      <c r="H587">
        <v>0.777226482753491</v>
      </c>
      <c r="I587">
        <v>3780.055641</v>
      </c>
      <c r="J587">
        <v>20.06195572184561</v>
      </c>
      <c r="K587">
        <v>0.1938220655245614</v>
      </c>
      <c r="L587">
        <v>0.9143263992298981</v>
      </c>
      <c r="M587">
        <v>95.95999999999999</v>
      </c>
      <c r="N587">
        <v>67.77</v>
      </c>
    </row>
    <row r="588" spans="1:14">
      <c r="A588" s="1" t="s">
        <v>600</v>
      </c>
      <c r="B588">
        <f>HYPERLINK("https://www.suredividend.com/sure-analysis-research-database/","Futurefuel Corp")</f>
        <v>0</v>
      </c>
      <c r="C588" t="s">
        <v>1925</v>
      </c>
      <c r="D588">
        <v>8.68</v>
      </c>
      <c r="E588">
        <v>0.027389144844497</v>
      </c>
      <c r="F588">
        <v>0</v>
      </c>
      <c r="G588">
        <v>0</v>
      </c>
      <c r="H588">
        <v>0.237737777250235</v>
      </c>
      <c r="I588">
        <v>379.864949</v>
      </c>
      <c r="J588">
        <v>16.79109531185077</v>
      </c>
      <c r="K588">
        <v>0.4599299230997002</v>
      </c>
      <c r="L588">
        <v>0.9040593655575531</v>
      </c>
      <c r="M588">
        <v>10.47</v>
      </c>
      <c r="N588">
        <v>5.73</v>
      </c>
    </row>
    <row r="589" spans="1:14">
      <c r="A589" s="1" t="s">
        <v>601</v>
      </c>
      <c r="B589">
        <f>HYPERLINK("https://www.suredividend.com/sure-analysis-research-database/","First Financial Bancorp")</f>
        <v>0</v>
      </c>
      <c r="C589" t="s">
        <v>1923</v>
      </c>
      <c r="D589">
        <v>24.73</v>
      </c>
      <c r="E589">
        <v>0.036762360568296</v>
      </c>
      <c r="F589">
        <v>0</v>
      </c>
      <c r="G589">
        <v>0.03895047748988278</v>
      </c>
      <c r="H589">
        <v>0.9091331768539701</v>
      </c>
      <c r="I589">
        <v>2345.383432</v>
      </c>
      <c r="J589">
        <v>11.99862604503993</v>
      </c>
      <c r="K589">
        <v>0.4391947714270387</v>
      </c>
      <c r="L589">
        <v>0.766309221125808</v>
      </c>
      <c r="M589">
        <v>26.72</v>
      </c>
      <c r="N589">
        <v>18.39</v>
      </c>
    </row>
    <row r="590" spans="1:14">
      <c r="A590" s="1" t="s">
        <v>602</v>
      </c>
      <c r="B590">
        <f>HYPERLINK("https://www.suredividend.com/sure-analysis-research-database/","Flushing Financial Corp.")</f>
        <v>0</v>
      </c>
      <c r="C590" t="s">
        <v>1923</v>
      </c>
      <c r="D590">
        <v>19.65</v>
      </c>
      <c r="E590">
        <v>0.04407346918983601</v>
      </c>
      <c r="F590">
        <v>0.04761904761904767</v>
      </c>
      <c r="G590">
        <v>0.01924487649145656</v>
      </c>
      <c r="H590">
        <v>0.8660436695802911</v>
      </c>
      <c r="I590">
        <v>586.06125</v>
      </c>
      <c r="J590">
        <v>6.912811545311929</v>
      </c>
      <c r="K590">
        <v>0.317232113399374</v>
      </c>
      <c r="L590">
        <v>0.458444613884823</v>
      </c>
      <c r="M590">
        <v>24.91</v>
      </c>
      <c r="N590">
        <v>19.09</v>
      </c>
    </row>
    <row r="591" spans="1:14">
      <c r="A591" s="1" t="s">
        <v>603</v>
      </c>
      <c r="B591">
        <f>HYPERLINK("https://www.suredividend.com/sure-analysis-research-database/","First Financial Bankshares, Inc.")</f>
        <v>0</v>
      </c>
      <c r="C591" t="s">
        <v>1923</v>
      </c>
      <c r="D591">
        <v>34.1</v>
      </c>
      <c r="E591">
        <v>0.019229997782681</v>
      </c>
      <c r="F591">
        <v>0.1333333333333335</v>
      </c>
      <c r="G591">
        <v>-0.02199952867696764</v>
      </c>
      <c r="H591">
        <v>0.65574292438944</v>
      </c>
      <c r="I591">
        <v>4864.080811</v>
      </c>
      <c r="J591">
        <v>21.04350885422075</v>
      </c>
      <c r="K591">
        <v>0.4072937418567951</v>
      </c>
      <c r="L591">
        <v>0.690484826761093</v>
      </c>
      <c r="M591">
        <v>52.74</v>
      </c>
      <c r="N591">
        <v>32.53</v>
      </c>
    </row>
    <row r="592" spans="1:14">
      <c r="A592" s="1" t="s">
        <v>604</v>
      </c>
      <c r="B592">
        <f>HYPERLINK("https://www.suredividend.com/sure-analysis-research-database/","First Foundation Inc")</f>
        <v>0</v>
      </c>
      <c r="C592" t="s">
        <v>1923</v>
      </c>
      <c r="D592">
        <v>14.68</v>
      </c>
      <c r="E592">
        <v>0.029683459933137</v>
      </c>
      <c r="F592" t="s">
        <v>1921</v>
      </c>
      <c r="G592" t="s">
        <v>1921</v>
      </c>
      <c r="H592">
        <v>0.4357531918184621</v>
      </c>
      <c r="I592">
        <v>827.77101</v>
      </c>
      <c r="J592">
        <v>0</v>
      </c>
      <c r="K592" t="s">
        <v>1921</v>
      </c>
      <c r="L592">
        <v>0.753618079351369</v>
      </c>
      <c r="M592">
        <v>27.39</v>
      </c>
      <c r="N592">
        <v>13.17</v>
      </c>
    </row>
    <row r="593" spans="1:14">
      <c r="A593" s="1" t="s">
        <v>605</v>
      </c>
      <c r="B593">
        <f>HYPERLINK("https://www.suredividend.com/sure-analysis-research-database/","FibroGen Inc")</f>
        <v>0</v>
      </c>
      <c r="C593" t="s">
        <v>1922</v>
      </c>
      <c r="D593">
        <v>19.9</v>
      </c>
      <c r="E593">
        <v>0</v>
      </c>
      <c r="F593" t="s">
        <v>1921</v>
      </c>
      <c r="G593" t="s">
        <v>1921</v>
      </c>
      <c r="H593">
        <v>0</v>
      </c>
      <c r="I593">
        <v>1869.757991</v>
      </c>
      <c r="J593" t="s">
        <v>1921</v>
      </c>
      <c r="K593">
        <v>-0</v>
      </c>
      <c r="L593">
        <v>1.249490928132665</v>
      </c>
      <c r="M593">
        <v>20.18</v>
      </c>
      <c r="N593">
        <v>7.81</v>
      </c>
    </row>
    <row r="594" spans="1:14">
      <c r="A594" s="1" t="s">
        <v>606</v>
      </c>
      <c r="B594">
        <f>HYPERLINK("https://www.suredividend.com/sure-analysis-research-database/","Federated Hermes Inc")</f>
        <v>0</v>
      </c>
      <c r="C594" t="s">
        <v>1923</v>
      </c>
      <c r="D594">
        <v>38.05</v>
      </c>
      <c r="E594">
        <v>0.028047585604731</v>
      </c>
      <c r="F594">
        <v>0</v>
      </c>
      <c r="G594">
        <v>0</v>
      </c>
      <c r="H594">
        <v>1.067210632260049</v>
      </c>
      <c r="I594">
        <v>3385.919849</v>
      </c>
      <c r="J594">
        <v>14.15944535708909</v>
      </c>
      <c r="K594">
        <v>0.3894929314817697</v>
      </c>
      <c r="L594">
        <v>0.8269605241778361</v>
      </c>
      <c r="M594">
        <v>38.82</v>
      </c>
      <c r="N594">
        <v>27.2</v>
      </c>
    </row>
    <row r="595" spans="1:14">
      <c r="A595" s="1" t="s">
        <v>607</v>
      </c>
      <c r="B595">
        <f>HYPERLINK("https://www.suredividend.com/sure-analysis-research-database/","Foghorn Therapeutics Inc")</f>
        <v>0</v>
      </c>
      <c r="C595" t="s">
        <v>1921</v>
      </c>
      <c r="D595">
        <v>6.27</v>
      </c>
      <c r="E595">
        <v>0</v>
      </c>
      <c r="F595" t="s">
        <v>1921</v>
      </c>
      <c r="G595" t="s">
        <v>1921</v>
      </c>
      <c r="H595">
        <v>0</v>
      </c>
      <c r="I595">
        <v>262.098089</v>
      </c>
      <c r="J595">
        <v>0</v>
      </c>
      <c r="K595" t="s">
        <v>1921</v>
      </c>
      <c r="L595">
        <v>1.491122698390193</v>
      </c>
      <c r="M595">
        <v>19.48</v>
      </c>
      <c r="N595">
        <v>5.32</v>
      </c>
    </row>
    <row r="596" spans="1:14">
      <c r="A596" s="1" t="s">
        <v>608</v>
      </c>
      <c r="B596">
        <f>HYPERLINK("https://www.suredividend.com/sure-analysis-research-database/","First Interstate BancSystem Inc.")</f>
        <v>0</v>
      </c>
      <c r="C596" t="s">
        <v>1923</v>
      </c>
      <c r="D596">
        <v>38.85</v>
      </c>
      <c r="E596">
        <v>0.04297985988757101</v>
      </c>
      <c r="F596">
        <v>0.1463414634146341</v>
      </c>
      <c r="G596">
        <v>0.1091440794805394</v>
      </c>
      <c r="H596">
        <v>1.669767556632163</v>
      </c>
      <c r="I596">
        <v>4057.793572</v>
      </c>
      <c r="J596">
        <v>24.2256332677612</v>
      </c>
      <c r="K596">
        <v>0.9225235119514713</v>
      </c>
      <c r="L596">
        <v>0.5848570660705771</v>
      </c>
      <c r="M596">
        <v>46.32</v>
      </c>
      <c r="N596">
        <v>31</v>
      </c>
    </row>
    <row r="597" spans="1:14">
      <c r="A597" s="1" t="s">
        <v>609</v>
      </c>
      <c r="B597">
        <f>HYPERLINK("https://www.suredividend.com/sure-analysis-research-database/","Financial Institutions Inc.")</f>
        <v>0</v>
      </c>
      <c r="C597" t="s">
        <v>1923</v>
      </c>
      <c r="D597">
        <v>24.17</v>
      </c>
      <c r="E597">
        <v>0.047161540783092</v>
      </c>
      <c r="F597">
        <v>0.07407407407407396</v>
      </c>
      <c r="G597">
        <v>0.03857377308425858</v>
      </c>
      <c r="H597">
        <v>1.139894440727334</v>
      </c>
      <c r="I597">
        <v>370.647748</v>
      </c>
      <c r="J597">
        <v>5.917393036224596</v>
      </c>
      <c r="K597">
        <v>0.2842629527998339</v>
      </c>
      <c r="L597">
        <v>0.555736730972565</v>
      </c>
      <c r="M597">
        <v>32.97</v>
      </c>
      <c r="N597">
        <v>22.64</v>
      </c>
    </row>
    <row r="598" spans="1:14">
      <c r="A598" s="1" t="s">
        <v>610</v>
      </c>
      <c r="B598">
        <f>HYPERLINK("https://www.suredividend.com/sure-analysis-research-database/","Comfort Systems USA, Inc.")</f>
        <v>0</v>
      </c>
      <c r="C598" t="s">
        <v>1924</v>
      </c>
      <c r="D598">
        <v>114.62</v>
      </c>
      <c r="E598">
        <v>0.004876306365046001</v>
      </c>
      <c r="F598">
        <v>0.1538461538461537</v>
      </c>
      <c r="G598">
        <v>0.1486983549970351</v>
      </c>
      <c r="H598">
        <v>0.558922235561591</v>
      </c>
      <c r="I598">
        <v>4098.90473</v>
      </c>
      <c r="J598">
        <v>17.96835291349214</v>
      </c>
      <c r="K598">
        <v>0.08857721641229653</v>
      </c>
      <c r="L598">
        <v>0.9856202193276021</v>
      </c>
      <c r="M598">
        <v>128.68</v>
      </c>
      <c r="N598">
        <v>73.95</v>
      </c>
    </row>
    <row r="599" spans="1:14">
      <c r="A599" s="1" t="s">
        <v>611</v>
      </c>
      <c r="B599">
        <f>HYPERLINK("https://www.suredividend.com/sure-analysis-research-database/","Homology Medicines Inc")</f>
        <v>0</v>
      </c>
      <c r="C599" t="s">
        <v>1922</v>
      </c>
      <c r="D599">
        <v>1.65</v>
      </c>
      <c r="E599">
        <v>0</v>
      </c>
      <c r="F599" t="s">
        <v>1921</v>
      </c>
      <c r="G599" t="s">
        <v>1921</v>
      </c>
      <c r="H599">
        <v>0</v>
      </c>
      <c r="I599">
        <v>94.843007</v>
      </c>
      <c r="J599">
        <v>0</v>
      </c>
      <c r="K599" t="s">
        <v>1921</v>
      </c>
      <c r="L599">
        <v>1.397770375736865</v>
      </c>
      <c r="M599">
        <v>4.26</v>
      </c>
      <c r="N599">
        <v>1.04</v>
      </c>
    </row>
    <row r="600" spans="1:14">
      <c r="A600" s="1" t="s">
        <v>612</v>
      </c>
      <c r="B600">
        <f>HYPERLINK("https://www.suredividend.com/sure-analysis-research-database/","National Beverage Corp.")</f>
        <v>0</v>
      </c>
      <c r="C600" t="s">
        <v>1928</v>
      </c>
      <c r="D600">
        <v>44.45</v>
      </c>
      <c r="E600">
        <v>0</v>
      </c>
      <c r="F600" t="s">
        <v>1921</v>
      </c>
      <c r="G600" t="s">
        <v>1921</v>
      </c>
      <c r="H600">
        <v>0</v>
      </c>
      <c r="I600">
        <v>4149.53845</v>
      </c>
      <c r="J600">
        <v>30.3080697798586</v>
      </c>
      <c r="K600">
        <v>0</v>
      </c>
      <c r="L600">
        <v>0.8284326136578231</v>
      </c>
      <c r="M600">
        <v>57.65</v>
      </c>
      <c r="N600">
        <v>38.1</v>
      </c>
    </row>
    <row r="601" spans="1:14">
      <c r="A601" s="1" t="s">
        <v>613</v>
      </c>
      <c r="B601">
        <f>HYPERLINK("https://www.suredividend.com/sure-analysis-research-database/","Fulgent Genetics Inc")</f>
        <v>0</v>
      </c>
      <c r="C601" t="s">
        <v>1922</v>
      </c>
      <c r="D601">
        <v>30.29</v>
      </c>
      <c r="E601">
        <v>0</v>
      </c>
      <c r="F601" t="s">
        <v>1921</v>
      </c>
      <c r="G601" t="s">
        <v>1921</v>
      </c>
      <c r="H601">
        <v>0</v>
      </c>
      <c r="I601">
        <v>891.678595</v>
      </c>
      <c r="J601">
        <v>0</v>
      </c>
      <c r="K601" t="s">
        <v>1921</v>
      </c>
      <c r="L601">
        <v>1.243090065170941</v>
      </c>
      <c r="M601">
        <v>85.53</v>
      </c>
      <c r="N601">
        <v>28.53</v>
      </c>
    </row>
    <row r="602" spans="1:14">
      <c r="A602" s="1" t="s">
        <v>614</v>
      </c>
      <c r="B602">
        <f>HYPERLINK("https://www.suredividend.com/sure-analysis-FLIC/","First Of Long Island Corp.")</f>
        <v>0</v>
      </c>
      <c r="C602" t="s">
        <v>1923</v>
      </c>
      <c r="D602">
        <v>18.19</v>
      </c>
      <c r="E602">
        <v>0.04617921935129191</v>
      </c>
      <c r="F602">
        <v>0.04999999999999982</v>
      </c>
      <c r="G602">
        <v>0.06961037572506878</v>
      </c>
      <c r="H602">
        <v>0.806108411746954</v>
      </c>
      <c r="I602">
        <v>412.159607</v>
      </c>
      <c r="J602">
        <v>8.952206919635101</v>
      </c>
      <c r="K602">
        <v>0.4071254604782596</v>
      </c>
      <c r="L602">
        <v>0.471438378089338</v>
      </c>
      <c r="M602">
        <v>21.96</v>
      </c>
      <c r="N602">
        <v>15.94</v>
      </c>
    </row>
    <row r="603" spans="1:14">
      <c r="A603" s="1" t="s">
        <v>615</v>
      </c>
      <c r="B603">
        <f>HYPERLINK("https://www.suredividend.com/sure-analysis-research-database/","Full House Resorts, Inc.")</f>
        <v>0</v>
      </c>
      <c r="C603" t="s">
        <v>1927</v>
      </c>
      <c r="D603">
        <v>7.77</v>
      </c>
      <c r="E603">
        <v>0</v>
      </c>
      <c r="F603" t="s">
        <v>1921</v>
      </c>
      <c r="G603" t="s">
        <v>1921</v>
      </c>
      <c r="H603">
        <v>0</v>
      </c>
      <c r="I603">
        <v>267.280883</v>
      </c>
      <c r="J603">
        <v>0</v>
      </c>
      <c r="K603" t="s">
        <v>1921</v>
      </c>
      <c r="L603">
        <v>1.474814462185689</v>
      </c>
      <c r="M603">
        <v>10.74</v>
      </c>
      <c r="N603">
        <v>4.82</v>
      </c>
    </row>
    <row r="604" spans="1:14">
      <c r="A604" s="1" t="s">
        <v>616</v>
      </c>
      <c r="B604">
        <f>HYPERLINK("https://www.suredividend.com/sure-analysis-research-database/","Fluent Inc")</f>
        <v>0</v>
      </c>
      <c r="C604" t="s">
        <v>1931</v>
      </c>
      <c r="D604">
        <v>1.23</v>
      </c>
      <c r="E604">
        <v>0</v>
      </c>
      <c r="F604" t="s">
        <v>1921</v>
      </c>
      <c r="G604" t="s">
        <v>1921</v>
      </c>
      <c r="H604">
        <v>0</v>
      </c>
      <c r="I604">
        <v>98.339906</v>
      </c>
      <c r="J604">
        <v>0</v>
      </c>
      <c r="K604" t="s">
        <v>1921</v>
      </c>
      <c r="L604">
        <v>1.095746055784441</v>
      </c>
      <c r="M604">
        <v>2.36</v>
      </c>
      <c r="N604">
        <v>0.96</v>
      </c>
    </row>
    <row r="605" spans="1:14">
      <c r="A605" s="1" t="s">
        <v>617</v>
      </c>
      <c r="B605">
        <f>HYPERLINK("https://www.suredividend.com/sure-analysis-research-database/","Fluor Corporation")</f>
        <v>0</v>
      </c>
      <c r="C605" t="s">
        <v>1924</v>
      </c>
      <c r="D605">
        <v>33.26</v>
      </c>
      <c r="E605">
        <v>0</v>
      </c>
      <c r="F605" t="s">
        <v>1921</v>
      </c>
      <c r="G605" t="s">
        <v>1921</v>
      </c>
      <c r="H605">
        <v>0</v>
      </c>
      <c r="I605">
        <v>4725.85729</v>
      </c>
      <c r="J605" t="s">
        <v>1921</v>
      </c>
      <c r="K605">
        <v>-0</v>
      </c>
      <c r="L605">
        <v>0.8503193504216731</v>
      </c>
      <c r="M605">
        <v>36.06</v>
      </c>
      <c r="N605">
        <v>19.8</v>
      </c>
    </row>
    <row r="606" spans="1:14">
      <c r="A606" s="1" t="s">
        <v>618</v>
      </c>
      <c r="B606">
        <f>HYPERLINK("https://www.suredividend.com/sure-analysis-research-database/","1-800 Flowers.com Inc.")</f>
        <v>0</v>
      </c>
      <c r="C606" t="s">
        <v>1927</v>
      </c>
      <c r="D606">
        <v>9.81</v>
      </c>
      <c r="E606">
        <v>0</v>
      </c>
      <c r="F606" t="s">
        <v>1921</v>
      </c>
      <c r="G606" t="s">
        <v>1921</v>
      </c>
      <c r="H606">
        <v>0</v>
      </c>
      <c r="I606">
        <v>365.795211</v>
      </c>
      <c r="J606">
        <v>12.35377275683891</v>
      </c>
      <c r="K606">
        <v>0</v>
      </c>
      <c r="L606">
        <v>1.364478693020312</v>
      </c>
      <c r="M606">
        <v>26.03</v>
      </c>
      <c r="N606">
        <v>5.82</v>
      </c>
    </row>
    <row r="607" spans="1:14">
      <c r="A607" s="1" t="s">
        <v>619</v>
      </c>
      <c r="B607">
        <f>HYPERLINK("https://www.suredividend.com/sure-analysis-research-database/","Flexsteel Industries, Inc.")</f>
        <v>0</v>
      </c>
      <c r="C607" t="s">
        <v>1927</v>
      </c>
      <c r="D607">
        <v>16.12</v>
      </c>
      <c r="E607">
        <v>0.036710567895937</v>
      </c>
      <c r="F607">
        <v>0</v>
      </c>
      <c r="G607">
        <v>-0.07373828108439318</v>
      </c>
      <c r="H607">
        <v>0.591774354482515</v>
      </c>
      <c r="I607">
        <v>85.007047</v>
      </c>
      <c r="J607" t="s">
        <v>1921</v>
      </c>
      <c r="K607" t="s">
        <v>1921</v>
      </c>
      <c r="L607">
        <v>0.6793004622733191</v>
      </c>
      <c r="M607">
        <v>26.8</v>
      </c>
      <c r="N607">
        <v>13.33</v>
      </c>
    </row>
    <row r="608" spans="1:14">
      <c r="A608" s="1" t="s">
        <v>620</v>
      </c>
      <c r="B608">
        <f>HYPERLINK("https://www.suredividend.com/sure-analysis-research-database/","Flywire Corp")</f>
        <v>0</v>
      </c>
      <c r="C608" t="s">
        <v>1921</v>
      </c>
      <c r="D608">
        <v>24.69</v>
      </c>
      <c r="E608">
        <v>0</v>
      </c>
      <c r="F608" t="s">
        <v>1921</v>
      </c>
      <c r="G608" t="s">
        <v>1921</v>
      </c>
      <c r="H608">
        <v>0</v>
      </c>
      <c r="I608">
        <v>2525.266708</v>
      </c>
      <c r="J608">
        <v>0</v>
      </c>
      <c r="K608" t="s">
        <v>1921</v>
      </c>
      <c r="L608">
        <v>2.030208915974226</v>
      </c>
      <c r="M608">
        <v>34.69</v>
      </c>
      <c r="N608">
        <v>14.56</v>
      </c>
    </row>
    <row r="609" spans="1:14">
      <c r="A609" s="1" t="s">
        <v>621</v>
      </c>
      <c r="B609">
        <f>HYPERLINK("https://www.suredividend.com/sure-analysis-research-database/","First Mid Bancshares Inc.")</f>
        <v>0</v>
      </c>
      <c r="C609" t="s">
        <v>1923</v>
      </c>
      <c r="D609">
        <v>31.87</v>
      </c>
      <c r="E609">
        <v>0.027975200567531</v>
      </c>
      <c r="F609" t="s">
        <v>1921</v>
      </c>
      <c r="G609" t="s">
        <v>1921</v>
      </c>
      <c r="H609">
        <v>0.8915696420872311</v>
      </c>
      <c r="I609">
        <v>652.164128</v>
      </c>
      <c r="J609">
        <v>0</v>
      </c>
      <c r="K609" t="s">
        <v>1921</v>
      </c>
      <c r="L609">
        <v>0.574639011592827</v>
      </c>
      <c r="M609">
        <v>43.58</v>
      </c>
      <c r="N609">
        <v>31.32</v>
      </c>
    </row>
    <row r="610" spans="1:14">
      <c r="A610" s="1" t="s">
        <v>622</v>
      </c>
      <c r="B610">
        <f>HYPERLINK("https://www.suredividend.com/sure-analysis-research-database/","Farmers National Banc Corp.")</f>
        <v>0</v>
      </c>
      <c r="C610" t="s">
        <v>1923</v>
      </c>
      <c r="D610">
        <v>14.46</v>
      </c>
      <c r="E610">
        <v>0.044218139812084</v>
      </c>
      <c r="F610">
        <v>0.2142857142857142</v>
      </c>
      <c r="G610">
        <v>0.1941810528171777</v>
      </c>
      <c r="H610">
        <v>0.639394301682747</v>
      </c>
      <c r="I610">
        <v>492.50264</v>
      </c>
      <c r="J610">
        <v>0</v>
      </c>
      <c r="K610" t="s">
        <v>1921</v>
      </c>
      <c r="L610">
        <v>0.479963490566377</v>
      </c>
      <c r="M610">
        <v>19</v>
      </c>
      <c r="N610">
        <v>12.27</v>
      </c>
    </row>
    <row r="611" spans="1:14">
      <c r="A611" s="1" t="s">
        <v>623</v>
      </c>
      <c r="B611">
        <f>HYPERLINK("https://www.suredividend.com/sure-analysis-research-database/","Forma Therapeutics Holdings Inc")</f>
        <v>0</v>
      </c>
      <c r="C611" t="s">
        <v>1921</v>
      </c>
      <c r="D611">
        <v>20.01</v>
      </c>
      <c r="E611">
        <v>0</v>
      </c>
      <c r="F611" t="s">
        <v>1921</v>
      </c>
      <c r="G611" t="s">
        <v>1921</v>
      </c>
      <c r="H611">
        <v>0</v>
      </c>
      <c r="I611">
        <v>0</v>
      </c>
      <c r="J611">
        <v>0</v>
      </c>
      <c r="K611" t="s">
        <v>1921</v>
      </c>
    </row>
    <row r="612" spans="1:14">
      <c r="A612" s="1" t="s">
        <v>624</v>
      </c>
      <c r="B612">
        <f>HYPERLINK("https://www.suredividend.com/sure-analysis-research-database/","Fabrinet")</f>
        <v>0</v>
      </c>
      <c r="C612" t="s">
        <v>1920</v>
      </c>
      <c r="D612">
        <v>130.74</v>
      </c>
      <c r="E612">
        <v>0</v>
      </c>
      <c r="F612" t="s">
        <v>1921</v>
      </c>
      <c r="G612" t="s">
        <v>1921</v>
      </c>
      <c r="H612">
        <v>0</v>
      </c>
      <c r="I612">
        <v>4783.445959</v>
      </c>
      <c r="J612">
        <v>21.70899120711251</v>
      </c>
      <c r="K612">
        <v>0</v>
      </c>
      <c r="L612">
        <v>1.141793346226641</v>
      </c>
      <c r="M612">
        <v>136.08</v>
      </c>
      <c r="N612">
        <v>74.56999999999999</v>
      </c>
    </row>
    <row r="613" spans="1:14">
      <c r="A613" s="1" t="s">
        <v>625</v>
      </c>
      <c r="B613">
        <f>HYPERLINK("https://www.suredividend.com/sure-analysis-research-database/","Paragon 28 Inc")</f>
        <v>0</v>
      </c>
      <c r="C613" t="s">
        <v>1921</v>
      </c>
      <c r="D613">
        <v>20.23</v>
      </c>
      <c r="E613">
        <v>0</v>
      </c>
      <c r="F613" t="s">
        <v>1921</v>
      </c>
      <c r="G613" t="s">
        <v>1921</v>
      </c>
      <c r="H613">
        <v>0</v>
      </c>
      <c r="I613">
        <v>1560.277086</v>
      </c>
      <c r="J613">
        <v>0</v>
      </c>
      <c r="K613" t="s">
        <v>1921</v>
      </c>
      <c r="L613">
        <v>1.476923319932521</v>
      </c>
      <c r="M613">
        <v>21.49</v>
      </c>
      <c r="N613">
        <v>12.35</v>
      </c>
    </row>
    <row r="614" spans="1:14">
      <c r="A614" s="1" t="s">
        <v>626</v>
      </c>
      <c r="B614">
        <f>HYPERLINK("https://www.suredividend.com/sure-analysis-research-database/","Finch Therapeutics Group Inc")</f>
        <v>0</v>
      </c>
      <c r="C614" t="s">
        <v>1921</v>
      </c>
      <c r="D614">
        <v>0.475</v>
      </c>
      <c r="E614">
        <v>0</v>
      </c>
      <c r="F614" t="s">
        <v>1921</v>
      </c>
      <c r="G614" t="s">
        <v>1921</v>
      </c>
      <c r="H614">
        <v>0</v>
      </c>
      <c r="I614">
        <v>22.751396</v>
      </c>
      <c r="J614">
        <v>0</v>
      </c>
      <c r="K614" t="s">
        <v>1921</v>
      </c>
      <c r="L614">
        <v>0.8848999290874231</v>
      </c>
      <c r="M614">
        <v>10.12</v>
      </c>
      <c r="N614">
        <v>0.3001</v>
      </c>
    </row>
    <row r="615" spans="1:14">
      <c r="A615" s="1" t="s">
        <v>627</v>
      </c>
      <c r="B615">
        <f>HYPERLINK("https://www.suredividend.com/sure-analysis-research-database/","Funko Inc")</f>
        <v>0</v>
      </c>
      <c r="C615" t="s">
        <v>1927</v>
      </c>
      <c r="D615">
        <v>11.31</v>
      </c>
      <c r="E615">
        <v>0</v>
      </c>
      <c r="F615" t="s">
        <v>1921</v>
      </c>
      <c r="G615" t="s">
        <v>1921</v>
      </c>
      <c r="H615">
        <v>0</v>
      </c>
      <c r="I615">
        <v>533.647579</v>
      </c>
      <c r="J615">
        <v>11.63746465326239</v>
      </c>
      <c r="K615">
        <v>0</v>
      </c>
      <c r="L615">
        <v>1.174604631387628</v>
      </c>
      <c r="M615">
        <v>27.79</v>
      </c>
      <c r="N615">
        <v>7.6</v>
      </c>
    </row>
    <row r="616" spans="1:14">
      <c r="A616" s="1" t="s">
        <v>628</v>
      </c>
      <c r="B616">
        <f>HYPERLINK("https://www.suredividend.com/sure-analysis-research-database/","First Bancorp Inc (ME)")</f>
        <v>0</v>
      </c>
      <c r="C616" t="s">
        <v>1923</v>
      </c>
      <c r="D616">
        <v>29.01</v>
      </c>
      <c r="E616">
        <v>0.057127305187114</v>
      </c>
      <c r="F616">
        <v>0.0625</v>
      </c>
      <c r="G616">
        <v>0.07214502590085092</v>
      </c>
      <c r="H616">
        <v>1.657263123478187</v>
      </c>
      <c r="I616">
        <v>320.329783</v>
      </c>
      <c r="J616">
        <v>25.20693920915959</v>
      </c>
      <c r="K616">
        <v>1.441098368241902</v>
      </c>
      <c r="L616">
        <v>0.5228075790215421</v>
      </c>
      <c r="M616">
        <v>35.16</v>
      </c>
      <c r="N616">
        <v>26.58</v>
      </c>
    </row>
    <row r="617" spans="1:14">
      <c r="A617" s="1" t="s">
        <v>629</v>
      </c>
      <c r="B617">
        <f>HYPERLINK("https://www.suredividend.com/sure-analysis-research-database/","Finance of America Companies Inc")</f>
        <v>0</v>
      </c>
      <c r="C617" t="s">
        <v>1921</v>
      </c>
      <c r="D617">
        <v>1.43</v>
      </c>
      <c r="E617">
        <v>0</v>
      </c>
      <c r="F617" t="s">
        <v>1921</v>
      </c>
      <c r="G617" t="s">
        <v>1921</v>
      </c>
      <c r="H617">
        <v>0</v>
      </c>
      <c r="I617">
        <v>90.036479</v>
      </c>
      <c r="J617">
        <v>0</v>
      </c>
      <c r="K617" t="s">
        <v>1921</v>
      </c>
      <c r="L617">
        <v>1.044271904168228</v>
      </c>
      <c r="M617">
        <v>4.31</v>
      </c>
      <c r="N617">
        <v>1.2</v>
      </c>
    </row>
    <row r="618" spans="1:14">
      <c r="A618" s="1" t="s">
        <v>630</v>
      </c>
      <c r="B618">
        <f>HYPERLINK("https://www.suredividend.com/sure-analysis-research-database/","Focus Financial Partners Inc")</f>
        <v>0</v>
      </c>
      <c r="C618" t="s">
        <v>1923</v>
      </c>
      <c r="D618">
        <v>40.3</v>
      </c>
      <c r="E618">
        <v>0</v>
      </c>
      <c r="F618" t="s">
        <v>1921</v>
      </c>
      <c r="G618" t="s">
        <v>1921</v>
      </c>
      <c r="H618">
        <v>0</v>
      </c>
      <c r="I618">
        <v>2654.39706</v>
      </c>
      <c r="J618">
        <v>0</v>
      </c>
      <c r="K618" t="s">
        <v>1921</v>
      </c>
      <c r="L618">
        <v>1.528777902609714</v>
      </c>
      <c r="M618">
        <v>57.83</v>
      </c>
      <c r="N618">
        <v>30.27</v>
      </c>
    </row>
    <row r="619" spans="1:14">
      <c r="A619" s="1" t="s">
        <v>631</v>
      </c>
      <c r="B619">
        <f>HYPERLINK("https://www.suredividend.com/sure-analysis-research-database/","Ferro Corp.")</f>
        <v>0</v>
      </c>
      <c r="C619" t="s">
        <v>1925</v>
      </c>
      <c r="D619">
        <v>22.01</v>
      </c>
      <c r="E619">
        <v>0</v>
      </c>
      <c r="F619" t="s">
        <v>1921</v>
      </c>
      <c r="G619" t="s">
        <v>1921</v>
      </c>
      <c r="H619">
        <v>0</v>
      </c>
      <c r="I619">
        <v>1843.420852</v>
      </c>
      <c r="J619">
        <v>12.38600057696313</v>
      </c>
      <c r="K619">
        <v>0</v>
      </c>
      <c r="L619">
        <v>0.026447467881769</v>
      </c>
      <c r="M619">
        <v>22.1</v>
      </c>
      <c r="N619">
        <v>16.63</v>
      </c>
    </row>
    <row r="620" spans="1:14">
      <c r="A620" s="1" t="s">
        <v>632</v>
      </c>
      <c r="B620">
        <f>HYPERLINK("https://www.suredividend.com/sure-analysis-research-database/","Amicus Therapeutics Inc")</f>
        <v>0</v>
      </c>
      <c r="C620" t="s">
        <v>1922</v>
      </c>
      <c r="D620">
        <v>11.3</v>
      </c>
      <c r="E620">
        <v>0</v>
      </c>
      <c r="F620" t="s">
        <v>1921</v>
      </c>
      <c r="G620" t="s">
        <v>1921</v>
      </c>
      <c r="H620">
        <v>0</v>
      </c>
      <c r="I620">
        <v>3174.681291</v>
      </c>
      <c r="J620" t="s">
        <v>1921</v>
      </c>
      <c r="K620">
        <v>-0</v>
      </c>
      <c r="L620">
        <v>1.140844385156626</v>
      </c>
      <c r="M620">
        <v>12.96</v>
      </c>
      <c r="N620">
        <v>5.91</v>
      </c>
    </row>
    <row r="621" spans="1:14">
      <c r="A621" s="1" t="s">
        <v>633</v>
      </c>
      <c r="B621">
        <f>HYPERLINK("https://www.suredividend.com/sure-analysis-research-database/","Forestar Group Inc")</f>
        <v>0</v>
      </c>
      <c r="C621" t="s">
        <v>1929</v>
      </c>
      <c r="D621">
        <v>15.98</v>
      </c>
      <c r="E621">
        <v>0</v>
      </c>
      <c r="F621" t="s">
        <v>1921</v>
      </c>
      <c r="G621" t="s">
        <v>1921</v>
      </c>
      <c r="H621">
        <v>0</v>
      </c>
      <c r="I621">
        <v>795.31629</v>
      </c>
      <c r="J621">
        <v>4.623931920930233</v>
      </c>
      <c r="K621">
        <v>0</v>
      </c>
      <c r="L621">
        <v>0.994872964059151</v>
      </c>
      <c r="M621">
        <v>20.52</v>
      </c>
      <c r="N621">
        <v>10.28</v>
      </c>
    </row>
    <row r="622" spans="1:14">
      <c r="A622" s="1" t="s">
        <v>634</v>
      </c>
      <c r="B622">
        <f>HYPERLINK("https://www.suredividend.com/sure-analysis-research-database/","Forian Inc.")</f>
        <v>0</v>
      </c>
      <c r="C622" t="s">
        <v>1921</v>
      </c>
      <c r="D622">
        <v>2.3</v>
      </c>
      <c r="E622">
        <v>0</v>
      </c>
      <c r="F622" t="s">
        <v>1921</v>
      </c>
      <c r="G622" t="s">
        <v>1921</v>
      </c>
      <c r="H622">
        <v>0</v>
      </c>
      <c r="I622">
        <v>75.08310400000001</v>
      </c>
      <c r="J622">
        <v>0</v>
      </c>
      <c r="K622" t="s">
        <v>1921</v>
      </c>
      <c r="L622">
        <v>0.561682521874311</v>
      </c>
      <c r="M622">
        <v>8.66</v>
      </c>
      <c r="N622">
        <v>2</v>
      </c>
    </row>
    <row r="623" spans="1:14">
      <c r="A623" s="1" t="s">
        <v>635</v>
      </c>
      <c r="B623">
        <f>HYPERLINK("https://www.suredividend.com/sure-analysis-research-database/","FormFactor Inc.")</f>
        <v>0</v>
      </c>
      <c r="C623" t="s">
        <v>1920</v>
      </c>
      <c r="D623">
        <v>24.41</v>
      </c>
      <c r="E623">
        <v>0</v>
      </c>
      <c r="F623" t="s">
        <v>1921</v>
      </c>
      <c r="G623" t="s">
        <v>1921</v>
      </c>
      <c r="H623">
        <v>0</v>
      </c>
      <c r="I623">
        <v>1880.182764</v>
      </c>
      <c r="J623">
        <v>20.80722830647838</v>
      </c>
      <c r="K623">
        <v>0</v>
      </c>
      <c r="L623">
        <v>1.454231134032864</v>
      </c>
      <c r="M623">
        <v>45.2</v>
      </c>
      <c r="N623">
        <v>18.15</v>
      </c>
    </row>
    <row r="624" spans="1:14">
      <c r="A624" s="1" t="s">
        <v>636</v>
      </c>
      <c r="B624">
        <f>HYPERLINK("https://www.suredividend.com/sure-analysis-research-database/","Forrester Research Inc.")</f>
        <v>0</v>
      </c>
      <c r="C624" t="s">
        <v>1924</v>
      </c>
      <c r="D624">
        <v>34.91</v>
      </c>
      <c r="E624">
        <v>0</v>
      </c>
      <c r="F624" t="s">
        <v>1921</v>
      </c>
      <c r="G624" t="s">
        <v>1921</v>
      </c>
      <c r="H624">
        <v>0</v>
      </c>
      <c r="I624">
        <v>665.10532</v>
      </c>
      <c r="J624">
        <v>21.1419727264058</v>
      </c>
      <c r="K624">
        <v>0</v>
      </c>
      <c r="L624">
        <v>0.8031813622071101</v>
      </c>
      <c r="M624">
        <v>59.56</v>
      </c>
      <c r="N624">
        <v>32.73</v>
      </c>
    </row>
    <row r="625" spans="1:14">
      <c r="A625" s="1" t="s">
        <v>637</v>
      </c>
      <c r="B625">
        <f>HYPERLINK("https://www.suredividend.com/sure-analysis-research-database/","Fossil Group Inc")</f>
        <v>0</v>
      </c>
      <c r="C625" t="s">
        <v>1927</v>
      </c>
      <c r="D625">
        <v>4.94</v>
      </c>
      <c r="E625">
        <v>0</v>
      </c>
      <c r="F625" t="s">
        <v>1921</v>
      </c>
      <c r="G625" t="s">
        <v>1921</v>
      </c>
      <c r="H625">
        <v>0</v>
      </c>
      <c r="I625">
        <v>256.072093</v>
      </c>
      <c r="J625" t="s">
        <v>1921</v>
      </c>
      <c r="K625">
        <v>-0</v>
      </c>
      <c r="L625">
        <v>1.840152596449259</v>
      </c>
      <c r="M625">
        <v>14.58</v>
      </c>
      <c r="N625">
        <v>3.25</v>
      </c>
    </row>
    <row r="626" spans="1:14">
      <c r="A626" s="1" t="s">
        <v>638</v>
      </c>
      <c r="B626">
        <f>HYPERLINK("https://www.suredividend.com/sure-analysis-research-database/","Fox Factory Holding Corp")</f>
        <v>0</v>
      </c>
      <c r="C626" t="s">
        <v>1927</v>
      </c>
      <c r="D626">
        <v>99.90000000000001</v>
      </c>
      <c r="E626">
        <v>0</v>
      </c>
      <c r="F626" t="s">
        <v>1921</v>
      </c>
      <c r="G626" t="s">
        <v>1921</v>
      </c>
      <c r="H626">
        <v>0</v>
      </c>
      <c r="I626">
        <v>4222.519554</v>
      </c>
      <c r="J626">
        <v>22.21758958658901</v>
      </c>
      <c r="K626">
        <v>0</v>
      </c>
      <c r="L626">
        <v>1.515521210857731</v>
      </c>
      <c r="M626">
        <v>161.57</v>
      </c>
      <c r="N626">
        <v>69.28</v>
      </c>
    </row>
    <row r="627" spans="1:14">
      <c r="A627" s="1" t="s">
        <v>639</v>
      </c>
      <c r="B627">
        <f>HYPERLINK("https://www.suredividend.com/sure-analysis-research-database/","Farmland Partners Inc")</f>
        <v>0</v>
      </c>
      <c r="C627" t="s">
        <v>1929</v>
      </c>
      <c r="D627">
        <v>12.51</v>
      </c>
      <c r="E627">
        <v>0.018262163815517</v>
      </c>
      <c r="F627">
        <v>0.2</v>
      </c>
      <c r="G627">
        <v>-0.1399410628175578</v>
      </c>
      <c r="H627">
        <v>0.228459669332124</v>
      </c>
      <c r="I627">
        <v>682.846991</v>
      </c>
      <c r="J627">
        <v>0</v>
      </c>
      <c r="K627" t="s">
        <v>1921</v>
      </c>
      <c r="L627">
        <v>0.589888570785142</v>
      </c>
      <c r="M627">
        <v>16.21</v>
      </c>
      <c r="N627">
        <v>10.44</v>
      </c>
    </row>
    <row r="628" spans="1:14">
      <c r="A628" s="1" t="s">
        <v>640</v>
      </c>
      <c r="B628">
        <f>HYPERLINK("https://www.suredividend.com/sure-analysis-research-database/","First Bank (NJ)")</f>
        <v>0</v>
      </c>
      <c r="C628" t="s">
        <v>1923</v>
      </c>
      <c r="D628">
        <v>13.43</v>
      </c>
      <c r="E628">
        <v>0.017690603052625</v>
      </c>
      <c r="F628">
        <v>0</v>
      </c>
      <c r="G628">
        <v>0.1486983549970351</v>
      </c>
      <c r="H628">
        <v>0.237584798996758</v>
      </c>
      <c r="I628">
        <v>153.98838</v>
      </c>
      <c r="J628">
        <v>0</v>
      </c>
      <c r="K628" t="s">
        <v>1921</v>
      </c>
      <c r="L628">
        <v>0.550043802059851</v>
      </c>
      <c r="M628">
        <v>16.63</v>
      </c>
      <c r="N628">
        <v>13.17</v>
      </c>
    </row>
    <row r="629" spans="1:14">
      <c r="A629" s="1" t="s">
        <v>641</v>
      </c>
      <c r="B629">
        <f>HYPERLINK("https://www.suredividend.com/sure-analysis-research-database/","Republic First Bancorp, Inc.")</f>
        <v>0</v>
      </c>
      <c r="C629" t="s">
        <v>1923</v>
      </c>
      <c r="D629">
        <v>2.54</v>
      </c>
      <c r="E629">
        <v>0</v>
      </c>
      <c r="F629" t="s">
        <v>1921</v>
      </c>
      <c r="G629" t="s">
        <v>1921</v>
      </c>
      <c r="H629">
        <v>0</v>
      </c>
      <c r="I629">
        <v>162.022953</v>
      </c>
      <c r="J629">
        <v>8.295681355793354</v>
      </c>
      <c r="K629">
        <v>0</v>
      </c>
      <c r="L629">
        <v>0.625720318857911</v>
      </c>
      <c r="M629">
        <v>5.67</v>
      </c>
      <c r="N629">
        <v>1.96</v>
      </c>
    </row>
    <row r="630" spans="1:14">
      <c r="A630" s="1" t="s">
        <v>642</v>
      </c>
      <c r="B630">
        <f>HYPERLINK("https://www.suredividend.com/sure-analysis-research-database/","Whole Earth Brands Inc")</f>
        <v>0</v>
      </c>
      <c r="C630" t="s">
        <v>1921</v>
      </c>
      <c r="D630">
        <v>3.78</v>
      </c>
      <c r="E630">
        <v>0</v>
      </c>
      <c r="F630" t="s">
        <v>1921</v>
      </c>
      <c r="G630" t="s">
        <v>1921</v>
      </c>
      <c r="H630">
        <v>0</v>
      </c>
      <c r="I630">
        <v>158.695528</v>
      </c>
      <c r="J630">
        <v>0</v>
      </c>
      <c r="K630" t="s">
        <v>1921</v>
      </c>
      <c r="L630">
        <v>0.9351351123118451</v>
      </c>
      <c r="M630">
        <v>10.16</v>
      </c>
      <c r="N630">
        <v>3</v>
      </c>
    </row>
    <row r="631" spans="1:14">
      <c r="A631" s="1" t="s">
        <v>643</v>
      </c>
      <c r="B631">
        <f>HYPERLINK("https://www.suredividend.com/sure-analysis-research-database/","Frequency Therapeutics Inc")</f>
        <v>0</v>
      </c>
      <c r="C631" t="s">
        <v>1922</v>
      </c>
      <c r="D631">
        <v>3.33</v>
      </c>
      <c r="E631">
        <v>0</v>
      </c>
      <c r="F631" t="s">
        <v>1921</v>
      </c>
      <c r="G631" t="s">
        <v>1921</v>
      </c>
      <c r="H631">
        <v>0</v>
      </c>
      <c r="I631">
        <v>117.422736</v>
      </c>
      <c r="J631">
        <v>0</v>
      </c>
      <c r="K631" t="s">
        <v>1921</v>
      </c>
      <c r="L631">
        <v>1.221527805784668</v>
      </c>
      <c r="M631">
        <v>5.79</v>
      </c>
      <c r="N631">
        <v>1</v>
      </c>
    </row>
    <row r="632" spans="1:14">
      <c r="A632" s="1" t="s">
        <v>644</v>
      </c>
      <c r="B632">
        <f>HYPERLINK("https://www.suredividend.com/sure-analysis-research-database/","Franchise Group Inc")</f>
        <v>0</v>
      </c>
      <c r="C632" t="s">
        <v>1927</v>
      </c>
      <c r="D632">
        <v>29.92</v>
      </c>
      <c r="E632">
        <v>0.08061601640852001</v>
      </c>
      <c r="F632" t="s">
        <v>1921</v>
      </c>
      <c r="G632" t="s">
        <v>1921</v>
      </c>
      <c r="H632">
        <v>2.412031210942923</v>
      </c>
      <c r="I632">
        <v>1143.118464</v>
      </c>
      <c r="J632">
        <v>0</v>
      </c>
      <c r="K632" t="s">
        <v>1921</v>
      </c>
      <c r="L632">
        <v>1.191959100364308</v>
      </c>
      <c r="M632">
        <v>49.39</v>
      </c>
      <c r="N632">
        <v>22.08</v>
      </c>
    </row>
    <row r="633" spans="1:14">
      <c r="A633" s="1" t="s">
        <v>645</v>
      </c>
      <c r="B633">
        <f>HYPERLINK("https://www.suredividend.com/sure-analysis-research-database/","Fiesta Restaurant Group Inc")</f>
        <v>0</v>
      </c>
      <c r="C633" t="s">
        <v>1927</v>
      </c>
      <c r="D633">
        <v>8.18</v>
      </c>
      <c r="E633">
        <v>0</v>
      </c>
      <c r="F633" t="s">
        <v>1921</v>
      </c>
      <c r="G633" t="s">
        <v>1921</v>
      </c>
      <c r="H633">
        <v>0</v>
      </c>
      <c r="I633">
        <v>212.598355</v>
      </c>
      <c r="J633" t="s">
        <v>1921</v>
      </c>
      <c r="K633">
        <v>-0</v>
      </c>
      <c r="L633">
        <v>0.9612905103807841</v>
      </c>
      <c r="M633">
        <v>11.12</v>
      </c>
      <c r="N633">
        <v>5.89</v>
      </c>
    </row>
    <row r="634" spans="1:14">
      <c r="A634" s="1" t="s">
        <v>646</v>
      </c>
      <c r="B634">
        <f>HYPERLINK("https://www.suredividend.com/sure-analysis-research-database/","First Merchants Corp.")</f>
        <v>0</v>
      </c>
      <c r="C634" t="s">
        <v>1923</v>
      </c>
      <c r="D634">
        <v>41.63</v>
      </c>
      <c r="E634">
        <v>0.029693750750097</v>
      </c>
      <c r="F634">
        <v>0.1034482758620692</v>
      </c>
      <c r="G634">
        <v>0.1219551454461996</v>
      </c>
      <c r="H634">
        <v>1.236150843726556</v>
      </c>
      <c r="I634">
        <v>2479.592287</v>
      </c>
      <c r="J634">
        <v>12.51535546879732</v>
      </c>
      <c r="K634">
        <v>0.3521797275574234</v>
      </c>
      <c r="L634">
        <v>0.6179825220299801</v>
      </c>
      <c r="M634">
        <v>44.76</v>
      </c>
      <c r="N634">
        <v>33.55</v>
      </c>
    </row>
    <row r="635" spans="1:14">
      <c r="A635" s="1" t="s">
        <v>647</v>
      </c>
      <c r="B635">
        <f>HYPERLINK("https://www.suredividend.com/sure-analysis-research-database/","Frontline Plc")</f>
        <v>0</v>
      </c>
      <c r="C635" t="s">
        <v>1926</v>
      </c>
      <c r="D635">
        <v>11.33</v>
      </c>
      <c r="E635">
        <v>0.013239188522547</v>
      </c>
      <c r="F635" t="s">
        <v>1921</v>
      </c>
      <c r="G635" t="s">
        <v>1921</v>
      </c>
      <c r="H635">
        <v>0.150000005960464</v>
      </c>
      <c r="I635">
        <v>2522.317332</v>
      </c>
      <c r="J635">
        <v>9.990246011018783</v>
      </c>
      <c r="K635">
        <v>0.1219512243581008</v>
      </c>
      <c r="L635">
        <v>0.539210181961926</v>
      </c>
      <c r="M635">
        <v>14.85</v>
      </c>
      <c r="N635">
        <v>6.03</v>
      </c>
    </row>
    <row r="636" spans="1:14">
      <c r="A636" s="1" t="s">
        <v>648</v>
      </c>
      <c r="B636">
        <f>HYPERLINK("https://www.suredividend.com/sure-analysis-research-database/","JFrog Ltd")</f>
        <v>0</v>
      </c>
      <c r="C636" t="s">
        <v>1921</v>
      </c>
      <c r="D636">
        <v>21.87</v>
      </c>
      <c r="E636">
        <v>0</v>
      </c>
      <c r="F636" t="s">
        <v>1921</v>
      </c>
      <c r="G636" t="s">
        <v>1921</v>
      </c>
      <c r="H636">
        <v>0</v>
      </c>
      <c r="I636">
        <v>2193.333814</v>
      </c>
      <c r="J636">
        <v>0</v>
      </c>
      <c r="K636" t="s">
        <v>1921</v>
      </c>
      <c r="L636">
        <v>1.340482789337069</v>
      </c>
      <c r="M636">
        <v>29.5</v>
      </c>
      <c r="N636">
        <v>16.36</v>
      </c>
    </row>
    <row r="637" spans="1:14">
      <c r="A637" s="1" t="s">
        <v>649</v>
      </c>
      <c r="B637">
        <f>HYPERLINK("https://www.suredividend.com/sure-analysis-research-database/","FRP Holdings Inc")</f>
        <v>0</v>
      </c>
      <c r="C637" t="s">
        <v>1929</v>
      </c>
      <c r="D637">
        <v>54.55</v>
      </c>
      <c r="E637">
        <v>0</v>
      </c>
      <c r="F637" t="s">
        <v>1921</v>
      </c>
      <c r="G637" t="s">
        <v>1921</v>
      </c>
      <c r="H637">
        <v>0</v>
      </c>
      <c r="I637">
        <v>515.775487</v>
      </c>
      <c r="J637">
        <v>473.6230365472911</v>
      </c>
      <c r="K637">
        <v>0</v>
      </c>
      <c r="L637">
        <v>0.49392555331794</v>
      </c>
      <c r="M637">
        <v>63.52</v>
      </c>
      <c r="N637">
        <v>53.08</v>
      </c>
    </row>
    <row r="638" spans="1:14">
      <c r="A638" s="1" t="s">
        <v>650</v>
      </c>
      <c r="B638">
        <f>HYPERLINK("https://www.suredividend.com/sure-analysis-research-database/","Primis Financial Corp")</f>
        <v>0</v>
      </c>
      <c r="C638" t="s">
        <v>1921</v>
      </c>
      <c r="D638">
        <v>11.82</v>
      </c>
      <c r="E638">
        <v>0.03318497842583</v>
      </c>
      <c r="F638">
        <v>0</v>
      </c>
      <c r="G638">
        <v>0.04563955259127317</v>
      </c>
      <c r="H638">
        <v>0.392246444993319</v>
      </c>
      <c r="I638">
        <v>291.529627</v>
      </c>
      <c r="J638">
        <v>0</v>
      </c>
      <c r="K638" t="s">
        <v>1921</v>
      </c>
      <c r="L638">
        <v>0.5558515211475701</v>
      </c>
      <c r="M638">
        <v>15.53</v>
      </c>
      <c r="N638">
        <v>11.66</v>
      </c>
    </row>
    <row r="639" spans="1:14">
      <c r="A639" s="1" t="s">
        <v>651</v>
      </c>
      <c r="B639">
        <f>HYPERLINK("https://www.suredividend.com/sure-analysis-research-database/","Five Star Bancorp")</f>
        <v>0</v>
      </c>
      <c r="C639" t="s">
        <v>1923</v>
      </c>
      <c r="D639">
        <v>27.02</v>
      </c>
      <c r="E639">
        <v>0.022017475782236</v>
      </c>
      <c r="F639" t="s">
        <v>1921</v>
      </c>
      <c r="G639" t="s">
        <v>1921</v>
      </c>
      <c r="H639">
        <v>0.594912195636022</v>
      </c>
      <c r="I639">
        <v>465.986461</v>
      </c>
      <c r="J639">
        <v>0</v>
      </c>
      <c r="K639" t="s">
        <v>1921</v>
      </c>
      <c r="L639">
        <v>0.620478042562247</v>
      </c>
      <c r="M639">
        <v>31.45</v>
      </c>
      <c r="N639">
        <v>23.3</v>
      </c>
    </row>
    <row r="640" spans="1:14">
      <c r="A640" s="1" t="s">
        <v>652</v>
      </c>
      <c r="B640">
        <f>HYPERLINK("https://www.suredividend.com/sure-analysis-research-database/","FS Bancorp Inc")</f>
        <v>0</v>
      </c>
      <c r="C640" t="s">
        <v>1923</v>
      </c>
      <c r="D640">
        <v>33.06</v>
      </c>
      <c r="E640">
        <v>0.023979018869327</v>
      </c>
      <c r="F640">
        <v>0</v>
      </c>
      <c r="G640">
        <v>0.07394092378577932</v>
      </c>
      <c r="H640">
        <v>0.7927463638199591</v>
      </c>
      <c r="I640">
        <v>254.706571</v>
      </c>
      <c r="J640">
        <v>0</v>
      </c>
      <c r="K640" t="s">
        <v>1921</v>
      </c>
      <c r="L640">
        <v>0.276009226797824</v>
      </c>
      <c r="M640">
        <v>34.5</v>
      </c>
      <c r="N640">
        <v>26.62</v>
      </c>
    </row>
    <row r="641" spans="1:14">
      <c r="A641" s="1" t="s">
        <v>653</v>
      </c>
      <c r="B641">
        <f>HYPERLINK("https://www.suredividend.com/sure-analysis-research-database/","Franklin Street Properties Corp.")</f>
        <v>0</v>
      </c>
      <c r="C641" t="s">
        <v>1929</v>
      </c>
      <c r="D641">
        <v>2.78</v>
      </c>
      <c r="E641">
        <v>0.07099719195182301</v>
      </c>
      <c r="F641">
        <v>-0.96875</v>
      </c>
      <c r="G641">
        <v>-0.3556059850227458</v>
      </c>
      <c r="H641">
        <v>0.19737219362607</v>
      </c>
      <c r="I641">
        <v>286.995841</v>
      </c>
      <c r="J641">
        <v>0</v>
      </c>
      <c r="K641" t="s">
        <v>1921</v>
      </c>
      <c r="L641">
        <v>0.7390869183017961</v>
      </c>
      <c r="M641">
        <v>6.04</v>
      </c>
      <c r="N641">
        <v>2.34</v>
      </c>
    </row>
    <row r="642" spans="1:14">
      <c r="A642" s="1" t="s">
        <v>654</v>
      </c>
      <c r="B642">
        <f>HYPERLINK("https://www.suredividend.com/sure-analysis-research-database/","Fisker Inc")</f>
        <v>0</v>
      </c>
      <c r="C642" t="s">
        <v>1921</v>
      </c>
      <c r="D642">
        <v>7.35</v>
      </c>
      <c r="E642">
        <v>0</v>
      </c>
      <c r="F642" t="s">
        <v>1921</v>
      </c>
      <c r="G642" t="s">
        <v>1921</v>
      </c>
      <c r="H642">
        <v>0</v>
      </c>
      <c r="I642">
        <v>1319.739084</v>
      </c>
      <c r="J642">
        <v>0</v>
      </c>
      <c r="K642" t="s">
        <v>1921</v>
      </c>
      <c r="L642">
        <v>1.721341833273075</v>
      </c>
      <c r="M642">
        <v>16.26</v>
      </c>
      <c r="N642">
        <v>6.41</v>
      </c>
    </row>
    <row r="643" spans="1:14">
      <c r="A643" s="1" t="s">
        <v>655</v>
      </c>
      <c r="B643">
        <f>HYPERLINK("https://www.suredividend.com/sure-analysis-research-database/","Federal Signal Corp.")</f>
        <v>0</v>
      </c>
      <c r="C643" t="s">
        <v>1924</v>
      </c>
      <c r="D643">
        <v>48.75</v>
      </c>
      <c r="E643">
        <v>0.007361693072319</v>
      </c>
      <c r="F643">
        <v>0</v>
      </c>
      <c r="G643">
        <v>0.05154749679728043</v>
      </c>
      <c r="H643">
        <v>0.358882537275595</v>
      </c>
      <c r="I643">
        <v>2956.032251</v>
      </c>
      <c r="J643">
        <v>28.07248101851852</v>
      </c>
      <c r="K643">
        <v>0.2098728288161374</v>
      </c>
      <c r="L643">
        <v>0.805562222480655</v>
      </c>
      <c r="M643">
        <v>50.56</v>
      </c>
      <c r="N643">
        <v>31.65</v>
      </c>
    </row>
    <row r="644" spans="1:14">
      <c r="A644" s="1" t="s">
        <v>656</v>
      </c>
      <c r="B644">
        <f>HYPERLINK("https://www.suredividend.com/sure-analysis-research-database/","FTC Solar Inc")</f>
        <v>0</v>
      </c>
      <c r="C644" t="s">
        <v>1921</v>
      </c>
      <c r="D644">
        <v>2.57</v>
      </c>
      <c r="E644">
        <v>0</v>
      </c>
      <c r="F644" t="s">
        <v>1921</v>
      </c>
      <c r="G644" t="s">
        <v>1921</v>
      </c>
      <c r="H644">
        <v>0</v>
      </c>
      <c r="I644">
        <v>265.443619</v>
      </c>
      <c r="J644">
        <v>0</v>
      </c>
      <c r="K644" t="s">
        <v>1921</v>
      </c>
      <c r="L644">
        <v>2.12262623268681</v>
      </c>
      <c r="M644">
        <v>6.92</v>
      </c>
      <c r="N644">
        <v>1.78</v>
      </c>
    </row>
    <row r="645" spans="1:14">
      <c r="A645" s="1" t="s">
        <v>657</v>
      </c>
      <c r="B645">
        <f>HYPERLINK("https://www.suredividend.com/sure-analysis-research-database/","Fathom Holdings Inc")</f>
        <v>0</v>
      </c>
      <c r="C645" t="s">
        <v>1921</v>
      </c>
      <c r="D645">
        <v>5.29</v>
      </c>
      <c r="E645">
        <v>0</v>
      </c>
      <c r="F645" t="s">
        <v>1921</v>
      </c>
      <c r="G645" t="s">
        <v>1921</v>
      </c>
      <c r="H645">
        <v>0</v>
      </c>
      <c r="I645">
        <v>90.324539</v>
      </c>
      <c r="J645">
        <v>0</v>
      </c>
      <c r="K645" t="s">
        <v>1921</v>
      </c>
      <c r="L645">
        <v>1.686596028016232</v>
      </c>
      <c r="M645">
        <v>20.83</v>
      </c>
      <c r="N645">
        <v>3.7</v>
      </c>
    </row>
    <row r="646" spans="1:14">
      <c r="A646" s="1" t="s">
        <v>658</v>
      </c>
      <c r="B646">
        <f>HYPERLINK("https://www.suredividend.com/sure-analysis-research-database/","fuboTV Inc")</f>
        <v>0</v>
      </c>
      <c r="C646" t="s">
        <v>1921</v>
      </c>
      <c r="D646">
        <v>1.84</v>
      </c>
      <c r="E646">
        <v>0</v>
      </c>
      <c r="F646" t="s">
        <v>1921</v>
      </c>
      <c r="G646" t="s">
        <v>1921</v>
      </c>
      <c r="H646">
        <v>0</v>
      </c>
      <c r="I646">
        <v>359.394451</v>
      </c>
      <c r="J646">
        <v>0</v>
      </c>
      <c r="K646" t="s">
        <v>1921</v>
      </c>
      <c r="L646">
        <v>2.515197663585128</v>
      </c>
      <c r="M646">
        <v>15.58</v>
      </c>
      <c r="N646">
        <v>1.61</v>
      </c>
    </row>
    <row r="647" spans="1:14">
      <c r="A647" s="1" t="s">
        <v>659</v>
      </c>
      <c r="B647">
        <f>HYPERLINK("https://www.suredividend.com/sure-analysis-FUL/","H.B. Fuller Company")</f>
        <v>0</v>
      </c>
      <c r="C647" t="s">
        <v>1925</v>
      </c>
      <c r="D647">
        <v>72.83</v>
      </c>
      <c r="E647">
        <v>0.0104352601949746</v>
      </c>
      <c r="F647" t="s">
        <v>1921</v>
      </c>
      <c r="G647" t="s">
        <v>1921</v>
      </c>
      <c r="H647">
        <v>0.7343764528335981</v>
      </c>
      <c r="I647">
        <v>3882.781639</v>
      </c>
      <c r="J647">
        <v>21.23014729449396</v>
      </c>
      <c r="K647">
        <v>0.2211977267571079</v>
      </c>
      <c r="L647">
        <v>0.9791001202663281</v>
      </c>
      <c r="M647">
        <v>81.41</v>
      </c>
      <c r="N647">
        <v>57.05</v>
      </c>
    </row>
    <row r="648" spans="1:14">
      <c r="A648" s="1" t="s">
        <v>660</v>
      </c>
      <c r="B648">
        <f>HYPERLINK("https://www.suredividend.com/sure-analysis-research-database/","Fulcrum Therapeutics Inc")</f>
        <v>0</v>
      </c>
      <c r="C648" t="s">
        <v>1922</v>
      </c>
      <c r="D648">
        <v>10.2</v>
      </c>
      <c r="E648">
        <v>0</v>
      </c>
      <c r="F648" t="s">
        <v>1921</v>
      </c>
      <c r="G648" t="s">
        <v>1921</v>
      </c>
      <c r="H648">
        <v>0</v>
      </c>
      <c r="I648">
        <v>530.9243310000001</v>
      </c>
      <c r="J648">
        <v>0</v>
      </c>
      <c r="K648" t="s">
        <v>1921</v>
      </c>
      <c r="L648">
        <v>1.176713456578875</v>
      </c>
      <c r="M648">
        <v>24.79</v>
      </c>
      <c r="N648">
        <v>3.21</v>
      </c>
    </row>
    <row r="649" spans="1:14">
      <c r="A649" s="1" t="s">
        <v>661</v>
      </c>
      <c r="B649">
        <f>HYPERLINK("https://www.suredividend.com/sure-analysis-research-database/","Fulton Financial Corp.")</f>
        <v>0</v>
      </c>
      <c r="C649" t="s">
        <v>1923</v>
      </c>
      <c r="D649">
        <v>16.79</v>
      </c>
      <c r="E649">
        <v>0.035157707779155</v>
      </c>
      <c r="F649">
        <v>0</v>
      </c>
      <c r="G649">
        <v>0.02903366107118788</v>
      </c>
      <c r="H649">
        <v>0.590297913612013</v>
      </c>
      <c r="I649">
        <v>2812.230321</v>
      </c>
      <c r="J649">
        <v>10.95160705639304</v>
      </c>
      <c r="K649">
        <v>0.3759859322369509</v>
      </c>
      <c r="L649">
        <v>0.716120635588918</v>
      </c>
      <c r="M649">
        <v>18.68</v>
      </c>
      <c r="N649">
        <v>13.42</v>
      </c>
    </row>
    <row r="650" spans="1:14">
      <c r="A650" s="1" t="s">
        <v>662</v>
      </c>
      <c r="B650">
        <f>HYPERLINK("https://www.suredividend.com/sure-analysis-research-database/","Arcimoto Inc")</f>
        <v>0</v>
      </c>
      <c r="C650" t="s">
        <v>1927</v>
      </c>
      <c r="D650">
        <v>3.57</v>
      </c>
      <c r="E650">
        <v>0</v>
      </c>
      <c r="F650" t="s">
        <v>1921</v>
      </c>
      <c r="G650" t="s">
        <v>1921</v>
      </c>
      <c r="H650">
        <v>0</v>
      </c>
      <c r="I650">
        <v>164.528187</v>
      </c>
      <c r="J650">
        <v>0</v>
      </c>
      <c r="K650" t="s">
        <v>1921</v>
      </c>
      <c r="L650">
        <v>1.238977329164964</v>
      </c>
      <c r="M650">
        <v>156.4</v>
      </c>
      <c r="N650">
        <v>2.55</v>
      </c>
    </row>
    <row r="651" spans="1:14">
      <c r="A651" s="1" t="s">
        <v>663</v>
      </c>
      <c r="B651">
        <f>HYPERLINK("https://www.suredividend.com/sure-analysis-research-database/","Forward Air Corp.")</f>
        <v>0</v>
      </c>
      <c r="C651" t="s">
        <v>1924</v>
      </c>
      <c r="D651">
        <v>105.58</v>
      </c>
      <c r="E651">
        <v>0.009061916108219001</v>
      </c>
      <c r="F651">
        <v>0.1428571428571428</v>
      </c>
      <c r="G651">
        <v>0.09856054330611785</v>
      </c>
      <c r="H651">
        <v>0.9567571027058031</v>
      </c>
      <c r="I651">
        <v>2807.340209</v>
      </c>
      <c r="J651">
        <v>14.79143396432994</v>
      </c>
      <c r="K651">
        <v>0.1362901855706272</v>
      </c>
      <c r="L651">
        <v>1.019059595094909</v>
      </c>
      <c r="M651">
        <v>117.31</v>
      </c>
      <c r="N651">
        <v>83.67</v>
      </c>
    </row>
    <row r="652" spans="1:14">
      <c r="A652" s="1" t="s">
        <v>664</v>
      </c>
      <c r="B652">
        <f>HYPERLINK("https://www.suredividend.com/sure-analysis-research-database/","First Watch Restaurant Group Inc")</f>
        <v>0</v>
      </c>
      <c r="C652" t="s">
        <v>1921</v>
      </c>
      <c r="D652">
        <v>14.28</v>
      </c>
      <c r="E652">
        <v>0</v>
      </c>
      <c r="F652" t="s">
        <v>1921</v>
      </c>
      <c r="G652" t="s">
        <v>1921</v>
      </c>
      <c r="H652">
        <v>0</v>
      </c>
      <c r="I652">
        <v>845.370559</v>
      </c>
      <c r="J652">
        <v>0</v>
      </c>
      <c r="K652" t="s">
        <v>1921</v>
      </c>
      <c r="L652">
        <v>1.220453688225949</v>
      </c>
      <c r="M652">
        <v>18.95</v>
      </c>
      <c r="N652">
        <v>11.57</v>
      </c>
    </row>
    <row r="653" spans="1:14">
      <c r="A653" s="1" t="s">
        <v>665</v>
      </c>
      <c r="B653">
        <f>HYPERLINK("https://www.suredividend.com/sure-analysis-research-database/","F45 Training Holdings Inc")</f>
        <v>0</v>
      </c>
      <c r="C653" t="s">
        <v>1921</v>
      </c>
      <c r="D653">
        <v>3.1</v>
      </c>
      <c r="E653">
        <v>0</v>
      </c>
      <c r="F653" t="s">
        <v>1921</v>
      </c>
      <c r="G653" t="s">
        <v>1921</v>
      </c>
      <c r="H653">
        <v>0</v>
      </c>
      <c r="I653">
        <v>298.277424</v>
      </c>
      <c r="J653">
        <v>0</v>
      </c>
      <c r="K653" t="s">
        <v>1921</v>
      </c>
      <c r="L653">
        <v>1.34692845472986</v>
      </c>
      <c r="M653">
        <v>15.78</v>
      </c>
      <c r="N653">
        <v>0.7857000000000001</v>
      </c>
    </row>
    <row r="654" spans="1:14">
      <c r="A654" s="1" t="s">
        <v>666</v>
      </c>
      <c r="B654">
        <f>HYPERLINK("https://www.suredividend.com/sure-analysis-research-database/","German American Bancorp Inc")</f>
        <v>0</v>
      </c>
      <c r="C654" t="s">
        <v>1923</v>
      </c>
      <c r="D654">
        <v>37.05</v>
      </c>
      <c r="E654">
        <v>0.024605968024007</v>
      </c>
      <c r="F654">
        <v>0.09523809523809534</v>
      </c>
      <c r="G654">
        <v>0.08924936491294377</v>
      </c>
      <c r="H654">
        <v>0.9116511152894651</v>
      </c>
      <c r="I654">
        <v>1092.423733</v>
      </c>
      <c r="J654">
        <v>14.24615598249915</v>
      </c>
      <c r="K654">
        <v>0.3414423652769532</v>
      </c>
      <c r="L654">
        <v>0.494730363481397</v>
      </c>
      <c r="M654">
        <v>40.83</v>
      </c>
      <c r="N654">
        <v>32.37</v>
      </c>
    </row>
    <row r="655" spans="1:14">
      <c r="A655" s="1" t="s">
        <v>667</v>
      </c>
      <c r="B655">
        <f>HYPERLINK("https://www.suredividend.com/sure-analysis-research-database/","GAN Limited")</f>
        <v>0</v>
      </c>
      <c r="C655" t="s">
        <v>1921</v>
      </c>
      <c r="D655">
        <v>1.64</v>
      </c>
      <c r="E655">
        <v>0</v>
      </c>
      <c r="F655" t="s">
        <v>1921</v>
      </c>
      <c r="G655" t="s">
        <v>1921</v>
      </c>
      <c r="H655">
        <v>0</v>
      </c>
      <c r="I655">
        <v>69.295097</v>
      </c>
      <c r="J655">
        <v>0</v>
      </c>
      <c r="K655" t="s">
        <v>1921</v>
      </c>
      <c r="L655">
        <v>1.722007419219254</v>
      </c>
      <c r="M655">
        <v>8.75</v>
      </c>
      <c r="N655">
        <v>1.2</v>
      </c>
    </row>
    <row r="656" spans="1:14">
      <c r="A656" s="1" t="s">
        <v>668</v>
      </c>
      <c r="B656">
        <f>HYPERLINK("https://www.suredividend.com/sure-analysis-research-database/","Gatos Silver Inc")</f>
        <v>0</v>
      </c>
      <c r="C656" t="s">
        <v>1921</v>
      </c>
      <c r="D656">
        <v>4.36</v>
      </c>
      <c r="E656">
        <v>0</v>
      </c>
      <c r="F656" t="s">
        <v>1921</v>
      </c>
      <c r="G656" t="s">
        <v>1921</v>
      </c>
      <c r="H656">
        <v>0</v>
      </c>
      <c r="I656">
        <v>301.426394</v>
      </c>
      <c r="J656">
        <v>0</v>
      </c>
      <c r="K656" t="s">
        <v>1921</v>
      </c>
      <c r="L656">
        <v>1.600653462350751</v>
      </c>
      <c r="M656">
        <v>11.7</v>
      </c>
      <c r="N656">
        <v>2.2</v>
      </c>
    </row>
    <row r="657" spans="1:14">
      <c r="A657" s="1" t="s">
        <v>669</v>
      </c>
      <c r="B657">
        <f>HYPERLINK("https://www.suredividend.com/sure-analysis-GATX/","GATX Corp.")</f>
        <v>0</v>
      </c>
      <c r="C657" t="s">
        <v>1924</v>
      </c>
      <c r="D657">
        <v>110.21</v>
      </c>
      <c r="E657">
        <v>0.01887306052082388</v>
      </c>
      <c r="F657">
        <v>0.04000000000000004</v>
      </c>
      <c r="G657">
        <v>0.03397522653195018</v>
      </c>
      <c r="H657">
        <v>2.064429916299857</v>
      </c>
      <c r="I657">
        <v>3879.392</v>
      </c>
      <c r="J657">
        <v>23.02309792284866</v>
      </c>
      <c r="K657">
        <v>0.4401769544349375</v>
      </c>
      <c r="L657">
        <v>0.750177084072808</v>
      </c>
      <c r="M657">
        <v>125.63</v>
      </c>
      <c r="N657">
        <v>84.56999999999999</v>
      </c>
    </row>
    <row r="658" spans="1:14">
      <c r="A658" s="1" t="s">
        <v>670</v>
      </c>
      <c r="B658">
        <f>HYPERLINK("https://www.suredividend.com/sure-analysis-research-database/","Glacier Bancorp, Inc.")</f>
        <v>0</v>
      </c>
      <c r="C658" t="s">
        <v>1923</v>
      </c>
      <c r="D658">
        <v>48.29</v>
      </c>
      <c r="E658">
        <v>0.026842546857059</v>
      </c>
      <c r="F658">
        <v>2.3</v>
      </c>
      <c r="G658">
        <v>0.01924487649145656</v>
      </c>
      <c r="H658">
        <v>1.296226587727424</v>
      </c>
      <c r="I658">
        <v>5348.936209</v>
      </c>
      <c r="J658">
        <v>19.5050074340162</v>
      </c>
      <c r="K658">
        <v>0.5247880921973376</v>
      </c>
      <c r="M658">
        <v>59.03</v>
      </c>
      <c r="N658">
        <v>42.78</v>
      </c>
    </row>
    <row r="659" spans="1:14">
      <c r="A659" s="1" t="s">
        <v>671</v>
      </c>
      <c r="B659">
        <f>HYPERLINK("https://www.suredividend.com/sure-analysis-research-database/","Generation Bio Co")</f>
        <v>0</v>
      </c>
      <c r="C659" t="s">
        <v>1921</v>
      </c>
      <c r="D659">
        <v>4.63</v>
      </c>
      <c r="E659">
        <v>0</v>
      </c>
      <c r="F659" t="s">
        <v>1921</v>
      </c>
      <c r="G659" t="s">
        <v>1921</v>
      </c>
      <c r="H659">
        <v>0</v>
      </c>
      <c r="I659">
        <v>275.127087</v>
      </c>
      <c r="J659">
        <v>0</v>
      </c>
      <c r="K659" t="s">
        <v>1921</v>
      </c>
      <c r="L659">
        <v>1.826150954283763</v>
      </c>
      <c r="M659">
        <v>9.59</v>
      </c>
      <c r="N659">
        <v>3.55</v>
      </c>
    </row>
    <row r="660" spans="1:14">
      <c r="A660" s="1" t="s">
        <v>672</v>
      </c>
      <c r="B660">
        <f>HYPERLINK("https://www.suredividend.com/sure-analysis-research-database/","Gamco Investors Inc")</f>
        <v>0</v>
      </c>
      <c r="C660" t="s">
        <v>1923</v>
      </c>
      <c r="D660">
        <v>14.78</v>
      </c>
      <c r="E660">
        <v>0.010793687739407</v>
      </c>
      <c r="F660">
        <v>1</v>
      </c>
      <c r="G660">
        <v>0.1486983549970351</v>
      </c>
      <c r="H660">
        <v>0.159530704788446</v>
      </c>
      <c r="I660">
        <v>108.528254</v>
      </c>
      <c r="J660">
        <v>0</v>
      </c>
      <c r="K660" t="s">
        <v>1921</v>
      </c>
      <c r="L660">
        <v>0.8035066453292681</v>
      </c>
      <c r="M660">
        <v>29.58</v>
      </c>
      <c r="N660">
        <v>14.45</v>
      </c>
    </row>
    <row r="661" spans="1:14">
      <c r="A661" s="1" t="s">
        <v>673</v>
      </c>
      <c r="B661">
        <f>HYPERLINK("https://www.suredividend.com/sure-analysis-research-database/","GreenBox POS")</f>
        <v>0</v>
      </c>
      <c r="C661" t="s">
        <v>1921</v>
      </c>
      <c r="D661">
        <v>0.9199000000000001</v>
      </c>
      <c r="E661">
        <v>0</v>
      </c>
      <c r="F661" t="s">
        <v>1921</v>
      </c>
      <c r="G661" t="s">
        <v>1921</v>
      </c>
      <c r="H661">
        <v>0</v>
      </c>
      <c r="I661">
        <v>40.392525</v>
      </c>
      <c r="J661">
        <v>0</v>
      </c>
      <c r="K661" t="s">
        <v>1921</v>
      </c>
      <c r="L661">
        <v>1.41982617308137</v>
      </c>
      <c r="M661">
        <v>9</v>
      </c>
      <c r="N661">
        <v>0.72</v>
      </c>
    </row>
    <row r="662" spans="1:14">
      <c r="A662" s="1" t="s">
        <v>674</v>
      </c>
      <c r="B662">
        <f>HYPERLINK("https://www.suredividend.com/sure-analysis-research-database/","Global Blood Therapeutics Inc.")</f>
        <v>0</v>
      </c>
      <c r="C662" t="s">
        <v>1922</v>
      </c>
      <c r="D662">
        <v>68.48999999999999</v>
      </c>
      <c r="E662">
        <v>0</v>
      </c>
      <c r="F662" t="s">
        <v>1921</v>
      </c>
      <c r="G662" t="s">
        <v>1921</v>
      </c>
      <c r="H662">
        <v>0</v>
      </c>
      <c r="I662">
        <v>0</v>
      </c>
      <c r="J662">
        <v>0</v>
      </c>
      <c r="K662" t="s">
        <v>1921</v>
      </c>
    </row>
    <row r="663" spans="1:14">
      <c r="A663" s="1" t="s">
        <v>675</v>
      </c>
      <c r="B663">
        <f>HYPERLINK("https://www.suredividend.com/sure-analysis-research-database/","Greenbrier Cos., Inc.")</f>
        <v>0</v>
      </c>
      <c r="C663" t="s">
        <v>1924</v>
      </c>
      <c r="D663">
        <v>27.48</v>
      </c>
      <c r="E663">
        <v>0.038863809903212</v>
      </c>
      <c r="F663">
        <v>0</v>
      </c>
      <c r="G663">
        <v>0.01551127839748156</v>
      </c>
      <c r="H663">
        <v>1.067977496140272</v>
      </c>
      <c r="I663">
        <v>900.868376</v>
      </c>
      <c r="J663">
        <v>19.20828094157783</v>
      </c>
      <c r="K663">
        <v>0.7683291339138646</v>
      </c>
      <c r="L663">
        <v>0.9118279908235341</v>
      </c>
      <c r="M663">
        <v>52.3</v>
      </c>
      <c r="N663">
        <v>23.62</v>
      </c>
    </row>
    <row r="664" spans="1:14">
      <c r="A664" s="1" t="s">
        <v>676</v>
      </c>
      <c r="B664">
        <f>HYPERLINK("https://www.suredividend.com/sure-analysis-research-database/","Gannett Co Inc.")</f>
        <v>0</v>
      </c>
      <c r="C664" t="s">
        <v>1931</v>
      </c>
      <c r="D664">
        <v>2.33</v>
      </c>
      <c r="E664">
        <v>0</v>
      </c>
      <c r="F664" t="s">
        <v>1921</v>
      </c>
      <c r="G664" t="s">
        <v>1921</v>
      </c>
      <c r="H664">
        <v>0</v>
      </c>
      <c r="I664">
        <v>340.395117</v>
      </c>
      <c r="J664" t="s">
        <v>1921</v>
      </c>
      <c r="K664">
        <v>-0</v>
      </c>
      <c r="L664">
        <v>1.28167618078367</v>
      </c>
      <c r="M664">
        <v>6.38</v>
      </c>
      <c r="N664">
        <v>1.25</v>
      </c>
    </row>
    <row r="665" spans="1:14">
      <c r="A665" s="1" t="s">
        <v>677</v>
      </c>
      <c r="B665">
        <f>HYPERLINK("https://www.suredividend.com/sure-analysis-research-database/","GCM Grosvenor Inc")</f>
        <v>0</v>
      </c>
      <c r="C665" t="s">
        <v>1921</v>
      </c>
      <c r="D665">
        <v>7.82</v>
      </c>
      <c r="E665">
        <v>0.051485582277112</v>
      </c>
      <c r="F665" t="s">
        <v>1921</v>
      </c>
      <c r="G665" t="s">
        <v>1921</v>
      </c>
      <c r="H665">
        <v>0.402617253407017</v>
      </c>
      <c r="I665">
        <v>330.308034</v>
      </c>
      <c r="J665">
        <v>0</v>
      </c>
      <c r="K665" t="s">
        <v>1921</v>
      </c>
      <c r="L665">
        <v>0.6791569747253461</v>
      </c>
      <c r="M665">
        <v>10.46</v>
      </c>
      <c r="N665">
        <v>6.1</v>
      </c>
    </row>
    <row r="666" spans="1:14">
      <c r="A666" s="1" t="s">
        <v>678</v>
      </c>
      <c r="B666">
        <f>HYPERLINK("https://www.suredividend.com/sure-analysis-research-database/","Genesco Inc.")</f>
        <v>0</v>
      </c>
      <c r="C666" t="s">
        <v>1927</v>
      </c>
      <c r="D666">
        <v>44.51</v>
      </c>
      <c r="E666">
        <v>0</v>
      </c>
      <c r="F666" t="s">
        <v>1921</v>
      </c>
      <c r="G666" t="s">
        <v>1921</v>
      </c>
      <c r="H666">
        <v>0</v>
      </c>
      <c r="I666">
        <v>561.265536</v>
      </c>
      <c r="J666">
        <v>5.9014734743339</v>
      </c>
      <c r="K666">
        <v>0</v>
      </c>
      <c r="L666">
        <v>1.219292155119871</v>
      </c>
      <c r="M666">
        <v>72.34</v>
      </c>
      <c r="N666">
        <v>37.54</v>
      </c>
    </row>
    <row r="667" spans="1:14">
      <c r="A667" s="1" t="s">
        <v>679</v>
      </c>
      <c r="B667">
        <f>HYPERLINK("https://www.suredividend.com/sure-analysis-research-database/","GCP Applied Technologies Inc")</f>
        <v>0</v>
      </c>
      <c r="C667" t="s">
        <v>1925</v>
      </c>
      <c r="D667">
        <v>32.01</v>
      </c>
      <c r="E667">
        <v>0</v>
      </c>
      <c r="F667" t="s">
        <v>1921</v>
      </c>
      <c r="G667" t="s">
        <v>1921</v>
      </c>
      <c r="H667">
        <v>0</v>
      </c>
      <c r="I667">
        <v>2369.103281</v>
      </c>
      <c r="J667">
        <v>215.37302559</v>
      </c>
      <c r="K667">
        <v>0</v>
      </c>
      <c r="L667">
        <v>0.140050265907739</v>
      </c>
      <c r="M667">
        <v>32.28</v>
      </c>
      <c r="N667">
        <v>20.76</v>
      </c>
    </row>
    <row r="668" spans="1:14">
      <c r="A668" s="1" t="s">
        <v>680</v>
      </c>
      <c r="B668">
        <f>HYPERLINK("https://www.suredividend.com/sure-analysis-research-database/","Golden Entertainment Inc")</f>
        <v>0</v>
      </c>
      <c r="C668" t="s">
        <v>1927</v>
      </c>
      <c r="D668">
        <v>36.53</v>
      </c>
      <c r="E668">
        <v>0</v>
      </c>
      <c r="F668" t="s">
        <v>1921</v>
      </c>
      <c r="G668" t="s">
        <v>1921</v>
      </c>
      <c r="H668">
        <v>0</v>
      </c>
      <c r="I668">
        <v>1041.301787</v>
      </c>
      <c r="J668">
        <v>11.52035432922512</v>
      </c>
      <c r="K668">
        <v>0</v>
      </c>
      <c r="L668">
        <v>1.305754536289557</v>
      </c>
      <c r="M668">
        <v>59.96</v>
      </c>
      <c r="N668">
        <v>32.53</v>
      </c>
    </row>
    <row r="669" spans="1:14">
      <c r="A669" s="1" t="s">
        <v>681</v>
      </c>
      <c r="B669">
        <f>HYPERLINK("https://www.suredividend.com/sure-analysis-research-database/","Green Dot Corp.")</f>
        <v>0</v>
      </c>
      <c r="C669" t="s">
        <v>1923</v>
      </c>
      <c r="D669">
        <v>16.95</v>
      </c>
      <c r="E669">
        <v>0</v>
      </c>
      <c r="F669" t="s">
        <v>1921</v>
      </c>
      <c r="G669" t="s">
        <v>1921</v>
      </c>
      <c r="H669">
        <v>0</v>
      </c>
      <c r="I669">
        <v>891.042245</v>
      </c>
      <c r="J669">
        <v>18.67425850990255</v>
      </c>
      <c r="K669">
        <v>0</v>
      </c>
      <c r="L669">
        <v>1.185047257522524</v>
      </c>
      <c r="M669">
        <v>36.05</v>
      </c>
      <c r="N669">
        <v>15.03</v>
      </c>
    </row>
    <row r="670" spans="1:14">
      <c r="A670" s="1" t="s">
        <v>682</v>
      </c>
      <c r="B670">
        <f>HYPERLINK("https://www.suredividend.com/sure-analysis-research-database/","Grid Dynamics Holdings Inc")</f>
        <v>0</v>
      </c>
      <c r="C670" t="s">
        <v>1920</v>
      </c>
      <c r="D670">
        <v>10.97</v>
      </c>
      <c r="E670">
        <v>0</v>
      </c>
      <c r="F670" t="s">
        <v>1921</v>
      </c>
      <c r="G670" t="s">
        <v>1921</v>
      </c>
      <c r="H670">
        <v>0</v>
      </c>
      <c r="I670">
        <v>811.7692489999999</v>
      </c>
      <c r="J670">
        <v>0</v>
      </c>
      <c r="K670" t="s">
        <v>1921</v>
      </c>
      <c r="L670">
        <v>1.70425413571224</v>
      </c>
      <c r="M670">
        <v>33.72</v>
      </c>
      <c r="N670">
        <v>9.09</v>
      </c>
    </row>
    <row r="671" spans="1:14">
      <c r="A671" s="1" t="s">
        <v>683</v>
      </c>
      <c r="B671">
        <f>HYPERLINK("https://www.suredividend.com/sure-analysis-GEF/","Greif Inc")</f>
        <v>0</v>
      </c>
      <c r="C671" t="s">
        <v>1927</v>
      </c>
      <c r="D671">
        <v>67.34999999999999</v>
      </c>
      <c r="E671">
        <v>0.02969561989606533</v>
      </c>
      <c r="F671">
        <v>0.08695652173913038</v>
      </c>
      <c r="G671">
        <v>0.03548578845590522</v>
      </c>
      <c r="H671">
        <v>1.899368675855168</v>
      </c>
      <c r="I671">
        <v>3426.602353</v>
      </c>
      <c r="J671">
        <v>9.096369399389436</v>
      </c>
      <c r="K671">
        <v>0.300533018331514</v>
      </c>
      <c r="L671">
        <v>0.7360890507159931</v>
      </c>
      <c r="M671">
        <v>73.69</v>
      </c>
      <c r="N671">
        <v>52.05</v>
      </c>
    </row>
    <row r="672" spans="1:14">
      <c r="A672" s="1" t="s">
        <v>684</v>
      </c>
      <c r="B672">
        <f>HYPERLINK("https://www.suredividend.com/sure-analysis-research-database/","Greif Inc")</f>
        <v>0</v>
      </c>
      <c r="C672" t="s">
        <v>1921</v>
      </c>
      <c r="D672">
        <v>58.38</v>
      </c>
      <c r="E672">
        <v>0</v>
      </c>
      <c r="F672" t="s">
        <v>1921</v>
      </c>
      <c r="G672" t="s">
        <v>1921</v>
      </c>
      <c r="H672">
        <v>2.702605818114876</v>
      </c>
      <c r="I672">
        <v>2827.622125</v>
      </c>
      <c r="J672">
        <v>0</v>
      </c>
      <c r="K672" t="s">
        <v>1921</v>
      </c>
      <c r="L672">
        <v>0.815879396192671</v>
      </c>
    </row>
    <row r="673" spans="1:14">
      <c r="A673" s="1" t="s">
        <v>685</v>
      </c>
      <c r="B673">
        <f>HYPERLINK("https://www.suredividend.com/sure-analysis-research-database/","Geo Group, Inc.")</f>
        <v>0</v>
      </c>
      <c r="C673" t="s">
        <v>1929</v>
      </c>
      <c r="D673">
        <v>10.77</v>
      </c>
      <c r="E673">
        <v>0</v>
      </c>
      <c r="F673" t="s">
        <v>1921</v>
      </c>
      <c r="G673" t="s">
        <v>1921</v>
      </c>
      <c r="H673">
        <v>0</v>
      </c>
      <c r="I673">
        <v>1337.09648</v>
      </c>
      <c r="J673">
        <v>20.31567521681658</v>
      </c>
      <c r="K673">
        <v>0</v>
      </c>
      <c r="L673">
        <v>0.786895804897624</v>
      </c>
      <c r="M673">
        <v>12.44</v>
      </c>
      <c r="N673">
        <v>5.21</v>
      </c>
    </row>
    <row r="674" spans="1:14">
      <c r="A674" s="1" t="s">
        <v>686</v>
      </c>
      <c r="B674">
        <f>HYPERLINK("https://www.suredividend.com/sure-analysis-research-database/","Geron Corp.")</f>
        <v>0</v>
      </c>
      <c r="C674" t="s">
        <v>1922</v>
      </c>
      <c r="D674">
        <v>2.95</v>
      </c>
      <c r="E674">
        <v>0</v>
      </c>
      <c r="F674" t="s">
        <v>1921</v>
      </c>
      <c r="G674" t="s">
        <v>1921</v>
      </c>
      <c r="H674">
        <v>0</v>
      </c>
      <c r="I674">
        <v>1124.643386</v>
      </c>
      <c r="J674" t="s">
        <v>1921</v>
      </c>
      <c r="K674">
        <v>-0</v>
      </c>
      <c r="L674">
        <v>1.375286557464336</v>
      </c>
      <c r="M674">
        <v>3.84</v>
      </c>
      <c r="N674">
        <v>0.9899</v>
      </c>
    </row>
    <row r="675" spans="1:14">
      <c r="A675" s="1" t="s">
        <v>687</v>
      </c>
      <c r="B675">
        <f>HYPERLINK("https://www.suredividend.com/sure-analysis-research-database/","Guess Inc.")</f>
        <v>0</v>
      </c>
      <c r="C675" t="s">
        <v>1927</v>
      </c>
      <c r="D675">
        <v>22.17</v>
      </c>
      <c r="E675">
        <v>0.040155650065832</v>
      </c>
      <c r="F675" t="s">
        <v>1921</v>
      </c>
      <c r="G675" t="s">
        <v>1921</v>
      </c>
      <c r="H675">
        <v>0.890250761959503</v>
      </c>
      <c r="I675">
        <v>1207.10899</v>
      </c>
      <c r="J675">
        <v>10.07847466991175</v>
      </c>
      <c r="K675">
        <v>0.5145958161615625</v>
      </c>
      <c r="L675">
        <v>1.451018534849788</v>
      </c>
      <c r="M675">
        <v>24.12</v>
      </c>
      <c r="N675">
        <v>14.12</v>
      </c>
    </row>
    <row r="676" spans="1:14">
      <c r="A676" s="1" t="s">
        <v>688</v>
      </c>
      <c r="B676">
        <f>HYPERLINK("https://www.suredividend.com/sure-analysis-research-database/","Gevo Inc")</f>
        <v>0</v>
      </c>
      <c r="C676" t="s">
        <v>1925</v>
      </c>
      <c r="D676">
        <v>1.91</v>
      </c>
      <c r="E676">
        <v>0</v>
      </c>
      <c r="F676" t="s">
        <v>1921</v>
      </c>
      <c r="G676" t="s">
        <v>1921</v>
      </c>
      <c r="H676">
        <v>0</v>
      </c>
      <c r="I676">
        <v>453.093508</v>
      </c>
      <c r="J676">
        <v>0</v>
      </c>
      <c r="K676" t="s">
        <v>1921</v>
      </c>
      <c r="L676">
        <v>2.114361264736537</v>
      </c>
      <c r="M676">
        <v>5.49</v>
      </c>
      <c r="N676">
        <v>1.65</v>
      </c>
    </row>
    <row r="677" spans="1:14">
      <c r="A677" s="1" t="s">
        <v>689</v>
      </c>
      <c r="B677">
        <f>HYPERLINK("https://www.suredividend.com/sure-analysis-research-database/","Griffon Corp.")</f>
        <v>0</v>
      </c>
      <c r="C677" t="s">
        <v>1924</v>
      </c>
      <c r="D677">
        <v>38.75</v>
      </c>
      <c r="E677">
        <v>0.009183704002913001</v>
      </c>
      <c r="F677">
        <v>0.1111111111111112</v>
      </c>
      <c r="G677">
        <v>0.07394092378577932</v>
      </c>
      <c r="H677">
        <v>0.355868530112897</v>
      </c>
      <c r="I677">
        <v>2211.242826</v>
      </c>
      <c r="J677" t="s">
        <v>1921</v>
      </c>
      <c r="K677" t="s">
        <v>1921</v>
      </c>
      <c r="L677">
        <v>1.162914788589483</v>
      </c>
      <c r="M677">
        <v>39.59</v>
      </c>
      <c r="N677">
        <v>16.18</v>
      </c>
    </row>
    <row r="678" spans="1:14">
      <c r="A678" s="1" t="s">
        <v>690</v>
      </c>
      <c r="B678">
        <f>HYPERLINK("https://www.suredividend.com/sure-analysis-research-database/","Graham Holdings Co.")</f>
        <v>0</v>
      </c>
      <c r="C678" t="s">
        <v>1928</v>
      </c>
      <c r="D678">
        <v>614</v>
      </c>
      <c r="E678">
        <v>0.010250763891791</v>
      </c>
      <c r="F678">
        <v>0.04635761589403975</v>
      </c>
      <c r="G678">
        <v>0.03504942682240086</v>
      </c>
      <c r="H678">
        <v>6.293969029559911</v>
      </c>
      <c r="I678">
        <v>2356.312802</v>
      </c>
      <c r="J678">
        <v>16.43885642327924</v>
      </c>
      <c r="K678">
        <v>0.2137171147558544</v>
      </c>
      <c r="L678">
        <v>0.6667499251890441</v>
      </c>
      <c r="M678">
        <v>664.37</v>
      </c>
      <c r="N678">
        <v>524.11</v>
      </c>
    </row>
    <row r="679" spans="1:14">
      <c r="A679" s="1" t="s">
        <v>691</v>
      </c>
      <c r="B679">
        <f>HYPERLINK("https://www.suredividend.com/sure-analysis-research-database/","Greenhill &amp; Co Inc")</f>
        <v>0</v>
      </c>
      <c r="C679" t="s">
        <v>1923</v>
      </c>
      <c r="D679">
        <v>11.98</v>
      </c>
      <c r="E679">
        <v>0.03292478260308501</v>
      </c>
      <c r="F679">
        <v>1</v>
      </c>
      <c r="G679">
        <v>0.1486983549970351</v>
      </c>
      <c r="H679">
        <v>0.394438895584968</v>
      </c>
      <c r="I679">
        <v>213.069236</v>
      </c>
      <c r="J679">
        <v>17.3480895424198</v>
      </c>
      <c r="K679">
        <v>0.7136582152794789</v>
      </c>
      <c r="L679">
        <v>1.091075662531333</v>
      </c>
      <c r="M679">
        <v>19.75</v>
      </c>
      <c r="N679">
        <v>5.59</v>
      </c>
    </row>
    <row r="680" spans="1:14">
      <c r="A680" s="1" t="s">
        <v>692</v>
      </c>
      <c r="B680">
        <f>HYPERLINK("https://www.suredividend.com/sure-analysis-research-database/","Global Industrial Co")</f>
        <v>0</v>
      </c>
      <c r="C680" t="s">
        <v>1921</v>
      </c>
      <c r="D680">
        <v>24.05</v>
      </c>
      <c r="E680">
        <v>0.029444694496199</v>
      </c>
      <c r="F680">
        <v>0</v>
      </c>
      <c r="G680">
        <v>0.08447177119769855</v>
      </c>
      <c r="H680">
        <v>0.7081449026336091</v>
      </c>
      <c r="I680">
        <v>912.87523</v>
      </c>
      <c r="J680">
        <v>8.452548421296298</v>
      </c>
      <c r="K680">
        <v>0.2502278807892612</v>
      </c>
      <c r="L680">
        <v>1.239032828659735</v>
      </c>
      <c r="M680">
        <v>37.47</v>
      </c>
      <c r="N680">
        <v>21.95</v>
      </c>
    </row>
    <row r="681" spans="1:14">
      <c r="A681" s="1" t="s">
        <v>693</v>
      </c>
      <c r="B681">
        <f>HYPERLINK("https://www.suredividend.com/sure-analysis-research-database/","G-III Apparel Group Ltd.")</f>
        <v>0</v>
      </c>
      <c r="C681" t="s">
        <v>1927</v>
      </c>
      <c r="D681">
        <v>14.92</v>
      </c>
      <c r="E681">
        <v>0</v>
      </c>
      <c r="F681" t="s">
        <v>1921</v>
      </c>
      <c r="G681" t="s">
        <v>1921</v>
      </c>
      <c r="H681">
        <v>0</v>
      </c>
      <c r="I681">
        <v>708.5358649999999</v>
      </c>
      <c r="J681">
        <v>4.014685952880115</v>
      </c>
      <c r="K681">
        <v>0</v>
      </c>
      <c r="L681">
        <v>1.494568333605939</v>
      </c>
      <c r="M681">
        <v>31.7</v>
      </c>
      <c r="N681">
        <v>11.6</v>
      </c>
    </row>
    <row r="682" spans="1:14">
      <c r="A682" s="1" t="s">
        <v>694</v>
      </c>
      <c r="B682">
        <f>HYPERLINK("https://www.suredividend.com/sure-analysis-research-database/","Glaukos Corporation")</f>
        <v>0</v>
      </c>
      <c r="C682" t="s">
        <v>1922</v>
      </c>
      <c r="D682">
        <v>44.68</v>
      </c>
      <c r="E682">
        <v>0</v>
      </c>
      <c r="F682" t="s">
        <v>1921</v>
      </c>
      <c r="G682" t="s">
        <v>1921</v>
      </c>
      <c r="H682">
        <v>0</v>
      </c>
      <c r="I682">
        <v>2131.382372</v>
      </c>
      <c r="J682" t="s">
        <v>1921</v>
      </c>
      <c r="K682">
        <v>-0</v>
      </c>
      <c r="L682">
        <v>1.145582779403015</v>
      </c>
      <c r="M682">
        <v>64.48999999999999</v>
      </c>
      <c r="N682">
        <v>33.33</v>
      </c>
    </row>
    <row r="683" spans="1:14">
      <c r="A683" s="1" t="s">
        <v>695</v>
      </c>
      <c r="B683">
        <f>HYPERLINK("https://www.suredividend.com/sure-analysis-research-database/","Great Lakes Dredge &amp; Dock Corporation")</f>
        <v>0</v>
      </c>
      <c r="C683" t="s">
        <v>1924</v>
      </c>
      <c r="D683">
        <v>5.99</v>
      </c>
      <c r="E683">
        <v>0</v>
      </c>
      <c r="F683" t="s">
        <v>1921</v>
      </c>
      <c r="G683" t="s">
        <v>1921</v>
      </c>
      <c r="H683">
        <v>0</v>
      </c>
      <c r="I683">
        <v>396.358054</v>
      </c>
      <c r="J683">
        <v>18.16406463544292</v>
      </c>
      <c r="K683">
        <v>0</v>
      </c>
      <c r="L683">
        <v>0.7713101616364051</v>
      </c>
      <c r="M683">
        <v>15.4</v>
      </c>
      <c r="N683">
        <v>5.42</v>
      </c>
    </row>
    <row r="684" spans="1:14">
      <c r="A684" s="1" t="s">
        <v>696</v>
      </c>
      <c r="B684">
        <f>HYPERLINK("https://www.suredividend.com/sure-analysis-research-database/","Golar Lng")</f>
        <v>0</v>
      </c>
      <c r="C684" t="s">
        <v>1926</v>
      </c>
      <c r="D684">
        <v>21.65</v>
      </c>
      <c r="E684">
        <v>0</v>
      </c>
      <c r="F684" t="s">
        <v>1921</v>
      </c>
      <c r="G684" t="s">
        <v>1921</v>
      </c>
      <c r="H684">
        <v>0</v>
      </c>
      <c r="I684">
        <v>2343.019377</v>
      </c>
      <c r="J684">
        <v>5.661504687919082</v>
      </c>
      <c r="K684">
        <v>0</v>
      </c>
      <c r="L684">
        <v>0.717763938833153</v>
      </c>
      <c r="M684">
        <v>30.66</v>
      </c>
      <c r="N684">
        <v>12.14</v>
      </c>
    </row>
    <row r="685" spans="1:14">
      <c r="A685" s="1" t="s">
        <v>697</v>
      </c>
      <c r="B685">
        <f>HYPERLINK("https://www.suredividend.com/sure-analysis-research-database/","Greenlight Capital Re Ltd")</f>
        <v>0</v>
      </c>
      <c r="C685" t="s">
        <v>1923</v>
      </c>
      <c r="D685">
        <v>8.550000000000001</v>
      </c>
      <c r="E685">
        <v>0</v>
      </c>
      <c r="F685" t="s">
        <v>1921</v>
      </c>
      <c r="G685" t="s">
        <v>1921</v>
      </c>
      <c r="H685">
        <v>0</v>
      </c>
      <c r="I685">
        <v>244.267908</v>
      </c>
      <c r="J685">
        <v>16.39822155612245</v>
      </c>
      <c r="K685">
        <v>0</v>
      </c>
      <c r="L685">
        <v>0.5635495259254081</v>
      </c>
      <c r="M685">
        <v>8.76</v>
      </c>
      <c r="N685">
        <v>6.51</v>
      </c>
    </row>
    <row r="686" spans="1:14">
      <c r="A686" s="1" t="s">
        <v>698</v>
      </c>
      <c r="B686">
        <f>HYPERLINK("https://www.suredividend.com/sure-analysis-research-database/","Greenwich LifeSciences Inc")</f>
        <v>0</v>
      </c>
      <c r="C686" t="s">
        <v>1921</v>
      </c>
      <c r="D686">
        <v>14.27</v>
      </c>
      <c r="E686">
        <v>0</v>
      </c>
      <c r="F686" t="s">
        <v>1921</v>
      </c>
      <c r="G686" t="s">
        <v>1921</v>
      </c>
      <c r="H686">
        <v>0</v>
      </c>
      <c r="I686">
        <v>182.994385</v>
      </c>
      <c r="J686">
        <v>0</v>
      </c>
      <c r="K686" t="s">
        <v>1921</v>
      </c>
      <c r="L686">
        <v>1.190340385402456</v>
      </c>
      <c r="M686">
        <v>26.27</v>
      </c>
      <c r="N686">
        <v>6.82</v>
      </c>
    </row>
    <row r="687" spans="1:14">
      <c r="A687" s="1" t="s">
        <v>699</v>
      </c>
      <c r="B687">
        <f>HYPERLINK("https://www.suredividend.com/sure-analysis-research-database/","Glatfelter Corporation")</f>
        <v>0</v>
      </c>
      <c r="C687" t="s">
        <v>1925</v>
      </c>
      <c r="D687">
        <v>3.2</v>
      </c>
      <c r="E687">
        <v>0.08664090303446101</v>
      </c>
      <c r="F687" t="s">
        <v>1921</v>
      </c>
      <c r="G687" t="s">
        <v>1921</v>
      </c>
      <c r="H687">
        <v>0.277250889710275</v>
      </c>
      <c r="I687">
        <v>143.348816</v>
      </c>
      <c r="J687" t="s">
        <v>1921</v>
      </c>
      <c r="K687" t="s">
        <v>1921</v>
      </c>
      <c r="L687">
        <v>1.255648872790107</v>
      </c>
      <c r="M687">
        <v>17.98</v>
      </c>
      <c r="N687">
        <v>2.08</v>
      </c>
    </row>
    <row r="688" spans="1:14">
      <c r="A688" s="1" t="s">
        <v>700</v>
      </c>
      <c r="B688">
        <f>HYPERLINK("https://www.suredividend.com/sure-analysis-research-database/","Monte Rosa Therapeutics Inc")</f>
        <v>0</v>
      </c>
      <c r="C688" t="s">
        <v>1921</v>
      </c>
      <c r="D688">
        <v>6.82</v>
      </c>
      <c r="E688">
        <v>0</v>
      </c>
      <c r="F688" t="s">
        <v>1921</v>
      </c>
      <c r="G688" t="s">
        <v>1921</v>
      </c>
      <c r="H688">
        <v>0</v>
      </c>
      <c r="I688">
        <v>330.081562</v>
      </c>
      <c r="J688">
        <v>0</v>
      </c>
      <c r="K688" t="s">
        <v>1921</v>
      </c>
      <c r="L688">
        <v>1.898131253451277</v>
      </c>
      <c r="M688">
        <v>17.75</v>
      </c>
      <c r="N688">
        <v>6.05</v>
      </c>
    </row>
    <row r="689" spans="1:14">
      <c r="A689" s="1" t="s">
        <v>701</v>
      </c>
      <c r="B689">
        <f>HYPERLINK("https://www.suredividend.com/sure-analysis-GMRE/","Global Medical REIT Inc")</f>
        <v>0</v>
      </c>
      <c r="C689" t="s">
        <v>1929</v>
      </c>
      <c r="D689">
        <v>9.800000000000001</v>
      </c>
      <c r="E689">
        <v>0.0857142857142857</v>
      </c>
      <c r="F689">
        <v>0.02439024390243882</v>
      </c>
      <c r="G689">
        <v>0.009805797673485328</v>
      </c>
      <c r="H689">
        <v>0.813720815215155</v>
      </c>
      <c r="I689">
        <v>642.079399</v>
      </c>
      <c r="J689">
        <v>0</v>
      </c>
      <c r="K689" t="s">
        <v>1921</v>
      </c>
      <c r="L689">
        <v>0.8296543415895841</v>
      </c>
      <c r="M689">
        <v>16.45</v>
      </c>
      <c r="N689">
        <v>6.86</v>
      </c>
    </row>
    <row r="690" spans="1:14">
      <c r="A690" s="1" t="s">
        <v>702</v>
      </c>
      <c r="B690">
        <f>HYPERLINK("https://www.suredividend.com/sure-analysis-research-database/","GMS Inc")</f>
        <v>0</v>
      </c>
      <c r="C690" t="s">
        <v>1924</v>
      </c>
      <c r="D690">
        <v>51.63</v>
      </c>
      <c r="E690">
        <v>0</v>
      </c>
      <c r="F690" t="s">
        <v>1921</v>
      </c>
      <c r="G690" t="s">
        <v>1921</v>
      </c>
      <c r="H690">
        <v>0</v>
      </c>
      <c r="I690">
        <v>2148.946442</v>
      </c>
      <c r="J690">
        <v>6.502067889150444</v>
      </c>
      <c r="K690">
        <v>0</v>
      </c>
      <c r="L690">
        <v>1.306801556887054</v>
      </c>
      <c r="M690">
        <v>58.73</v>
      </c>
      <c r="N690">
        <v>36.1</v>
      </c>
    </row>
    <row r="691" spans="1:14">
      <c r="A691" s="1" t="s">
        <v>703</v>
      </c>
      <c r="B691">
        <f>HYPERLINK("https://www.suredividend.com/sure-analysis-research-database/","Gemini Therapeutics Inc")</f>
        <v>0</v>
      </c>
      <c r="C691" t="s">
        <v>1921</v>
      </c>
      <c r="D691">
        <v>19.89</v>
      </c>
      <c r="E691">
        <v>0</v>
      </c>
      <c r="F691" t="s">
        <v>1921</v>
      </c>
      <c r="G691" t="s">
        <v>1921</v>
      </c>
      <c r="H691">
        <v>0</v>
      </c>
      <c r="I691">
        <v>861.8001850000001</v>
      </c>
      <c r="J691">
        <v>0</v>
      </c>
      <c r="K691" t="s">
        <v>1921</v>
      </c>
      <c r="L691">
        <v>0.18409486677561</v>
      </c>
    </row>
    <row r="692" spans="1:14">
      <c r="A692" s="1" t="s">
        <v>704</v>
      </c>
      <c r="B692">
        <f>HYPERLINK("https://www.suredividend.com/sure-analysis-research-database/","Genco Shipping &amp; Trading Limited")</f>
        <v>0</v>
      </c>
      <c r="C692" t="s">
        <v>1924</v>
      </c>
      <c r="D692">
        <v>15.47</v>
      </c>
      <c r="E692">
        <v>0.166838020843668</v>
      </c>
      <c r="F692" t="s">
        <v>1921</v>
      </c>
      <c r="G692" t="s">
        <v>1921</v>
      </c>
      <c r="H692">
        <v>2.580984182451551</v>
      </c>
      <c r="I692">
        <v>654.8014899999999</v>
      </c>
      <c r="J692">
        <v>0</v>
      </c>
      <c r="K692" t="s">
        <v>1921</v>
      </c>
      <c r="L692">
        <v>0.682788840516369</v>
      </c>
      <c r="M692">
        <v>25.08</v>
      </c>
      <c r="N692">
        <v>11.33</v>
      </c>
    </row>
    <row r="693" spans="1:14">
      <c r="A693" s="1" t="s">
        <v>705</v>
      </c>
      <c r="B693">
        <f>HYPERLINK("https://www.suredividend.com/sure-analysis-GNL/","Global Net Lease Inc")</f>
        <v>0</v>
      </c>
      <c r="C693" t="s">
        <v>1929</v>
      </c>
      <c r="D693">
        <v>13.46</v>
      </c>
      <c r="E693">
        <v>0.1188707280832095</v>
      </c>
      <c r="F693">
        <v>0</v>
      </c>
      <c r="G693">
        <v>0.1764468921689097</v>
      </c>
      <c r="H693">
        <v>1.5244292962163</v>
      </c>
      <c r="I693">
        <v>1397.085599</v>
      </c>
      <c r="J693">
        <v>0</v>
      </c>
      <c r="K693" t="s">
        <v>1921</v>
      </c>
      <c r="L693">
        <v>0.703019055574984</v>
      </c>
      <c r="M693">
        <v>14.73</v>
      </c>
      <c r="N693">
        <v>9.81</v>
      </c>
    </row>
    <row r="694" spans="1:14">
      <c r="A694" s="1" t="s">
        <v>706</v>
      </c>
      <c r="B694">
        <f>HYPERLINK("https://www.suredividend.com/sure-analysis-research-database/","Greenlane Holdings Inc")</f>
        <v>0</v>
      </c>
      <c r="C694" t="s">
        <v>1922</v>
      </c>
      <c r="D694">
        <v>0.3566</v>
      </c>
      <c r="E694">
        <v>0</v>
      </c>
      <c r="F694" t="s">
        <v>1921</v>
      </c>
      <c r="G694" t="s">
        <v>1921</v>
      </c>
      <c r="H694">
        <v>0</v>
      </c>
      <c r="I694">
        <v>2.663804</v>
      </c>
      <c r="J694">
        <v>0</v>
      </c>
      <c r="K694" t="s">
        <v>1921</v>
      </c>
      <c r="L694">
        <v>1.302800262042666</v>
      </c>
      <c r="M694">
        <v>20.6</v>
      </c>
      <c r="N694">
        <v>0.27</v>
      </c>
    </row>
    <row r="695" spans="1:14">
      <c r="A695" s="1" t="s">
        <v>707</v>
      </c>
      <c r="B695">
        <f>HYPERLINK("https://www.suredividend.com/sure-analysis-research-database/","Golden Nugget Online Gaming Inc")</f>
        <v>0</v>
      </c>
      <c r="C695" t="s">
        <v>1921</v>
      </c>
      <c r="D695">
        <v>5.78</v>
      </c>
      <c r="E695">
        <v>0</v>
      </c>
      <c r="F695" t="s">
        <v>1921</v>
      </c>
      <c r="G695" t="s">
        <v>1921</v>
      </c>
      <c r="H695">
        <v>0</v>
      </c>
      <c r="I695">
        <v>0</v>
      </c>
      <c r="J695">
        <v>0</v>
      </c>
      <c r="K695" t="s">
        <v>1921</v>
      </c>
    </row>
    <row r="696" spans="1:14">
      <c r="A696" s="1" t="s">
        <v>708</v>
      </c>
      <c r="B696">
        <f>HYPERLINK("https://www.suredividend.com/sure-analysis-research-database/","Guaranty Bancshares, Inc. (TX)")</f>
        <v>0</v>
      </c>
      <c r="C696" t="s">
        <v>1923</v>
      </c>
      <c r="D696">
        <v>34.66</v>
      </c>
      <c r="E696">
        <v>0.025151817352455</v>
      </c>
      <c r="F696">
        <v>0.09999999999999987</v>
      </c>
      <c r="G696">
        <v>0.09460878422315755</v>
      </c>
      <c r="H696">
        <v>0.8717619894360911</v>
      </c>
      <c r="I696">
        <v>413.825566</v>
      </c>
      <c r="J696">
        <v>0</v>
      </c>
      <c r="K696" t="s">
        <v>1921</v>
      </c>
      <c r="L696">
        <v>0.417144689457396</v>
      </c>
      <c r="M696">
        <v>43.5</v>
      </c>
      <c r="N696">
        <v>33.06</v>
      </c>
    </row>
    <row r="697" spans="1:14">
      <c r="A697" s="1" t="s">
        <v>709</v>
      </c>
      <c r="B697">
        <f>HYPERLINK("https://www.suredividend.com/sure-analysis-research-database/","Genius Brands International Inc")</f>
        <v>0</v>
      </c>
      <c r="C697" t="s">
        <v>1931</v>
      </c>
      <c r="D697">
        <v>0.542</v>
      </c>
      <c r="E697">
        <v>0</v>
      </c>
      <c r="F697" t="s">
        <v>1921</v>
      </c>
      <c r="G697" t="s">
        <v>1921</v>
      </c>
      <c r="H697">
        <v>0</v>
      </c>
      <c r="I697">
        <v>171.667597</v>
      </c>
      <c r="J697" t="s">
        <v>1921</v>
      </c>
      <c r="K697">
        <v>-0</v>
      </c>
      <c r="L697">
        <v>1.022728892124711</v>
      </c>
      <c r="M697">
        <v>1.24</v>
      </c>
      <c r="N697">
        <v>0.45</v>
      </c>
    </row>
    <row r="698" spans="1:14">
      <c r="A698" s="1" t="s">
        <v>710</v>
      </c>
      <c r="B698">
        <f>HYPERLINK("https://www.suredividend.com/sure-analysis-research-database/","Genworth Financial Inc")</f>
        <v>0</v>
      </c>
      <c r="C698" t="s">
        <v>1923</v>
      </c>
      <c r="D698">
        <v>5.07</v>
      </c>
      <c r="E698">
        <v>0</v>
      </c>
      <c r="F698" t="s">
        <v>1921</v>
      </c>
      <c r="G698" t="s">
        <v>1921</v>
      </c>
      <c r="H698">
        <v>0</v>
      </c>
      <c r="I698">
        <v>2516.573795</v>
      </c>
      <c r="J698">
        <v>4.215366490452261</v>
      </c>
      <c r="K698">
        <v>0</v>
      </c>
      <c r="L698">
        <v>0.88018520423135</v>
      </c>
      <c r="M698">
        <v>5.37</v>
      </c>
      <c r="N698">
        <v>3.43</v>
      </c>
    </row>
    <row r="699" spans="1:14">
      <c r="A699" s="1" t="s">
        <v>711</v>
      </c>
      <c r="B699">
        <f>HYPERLINK("https://www.suredividend.com/sure-analysis-research-database/","Canoo Inc")</f>
        <v>0</v>
      </c>
      <c r="C699" t="s">
        <v>1921</v>
      </c>
      <c r="D699">
        <v>1.08</v>
      </c>
      <c r="E699">
        <v>0</v>
      </c>
      <c r="F699" t="s">
        <v>1921</v>
      </c>
      <c r="G699" t="s">
        <v>1921</v>
      </c>
      <c r="H699">
        <v>0</v>
      </c>
      <c r="I699">
        <v>372.617861</v>
      </c>
      <c r="J699">
        <v>0</v>
      </c>
      <c r="K699" t="s">
        <v>1921</v>
      </c>
      <c r="L699">
        <v>1.777291358887182</v>
      </c>
      <c r="M699">
        <v>7.41</v>
      </c>
      <c r="N699">
        <v>1.02</v>
      </c>
    </row>
    <row r="700" spans="1:14">
      <c r="A700" s="1" t="s">
        <v>712</v>
      </c>
      <c r="B700">
        <f>HYPERLINK("https://www.suredividend.com/sure-analysis-research-database/","Gogo Inc")</f>
        <v>0</v>
      </c>
      <c r="C700" t="s">
        <v>1931</v>
      </c>
      <c r="D700">
        <v>15.57</v>
      </c>
      <c r="E700">
        <v>0</v>
      </c>
      <c r="F700" t="s">
        <v>1921</v>
      </c>
      <c r="G700" t="s">
        <v>1921</v>
      </c>
      <c r="H700">
        <v>0</v>
      </c>
      <c r="I700">
        <v>1981.597917</v>
      </c>
      <c r="J700">
        <v>6.999688860606574</v>
      </c>
      <c r="K700">
        <v>0</v>
      </c>
      <c r="L700">
        <v>0.957977730272314</v>
      </c>
      <c r="M700">
        <v>23.69</v>
      </c>
      <c r="N700">
        <v>11.57</v>
      </c>
    </row>
    <row r="701" spans="1:14">
      <c r="A701" s="1" t="s">
        <v>713</v>
      </c>
      <c r="B701">
        <f>HYPERLINK("https://www.suredividend.com/sure-analysis-research-database/","Acushnet Holdings Corp")</f>
        <v>0</v>
      </c>
      <c r="C701" t="s">
        <v>1927</v>
      </c>
      <c r="D701">
        <v>43.65</v>
      </c>
      <c r="E701">
        <v>0.016396864746269</v>
      </c>
      <c r="F701">
        <v>0.09090909090909083</v>
      </c>
      <c r="G701">
        <v>0.06724918187953888</v>
      </c>
      <c r="H701">
        <v>0.715723146174662</v>
      </c>
      <c r="I701">
        <v>3064.623985</v>
      </c>
      <c r="J701">
        <v>17.7246300499705</v>
      </c>
      <c r="K701">
        <v>0.3058645923823342</v>
      </c>
      <c r="L701">
        <v>0.9291684580415661</v>
      </c>
      <c r="M701">
        <v>53.52</v>
      </c>
      <c r="N701">
        <v>37.01</v>
      </c>
    </row>
    <row r="702" spans="1:14">
      <c r="A702" s="1" t="s">
        <v>714</v>
      </c>
      <c r="B702">
        <f>HYPERLINK("https://www.suredividend.com/sure-analysis-GOOD/","Gladstone Commercial Corp")</f>
        <v>0</v>
      </c>
      <c r="C702" t="s">
        <v>1929</v>
      </c>
      <c r="D702">
        <v>19.14</v>
      </c>
      <c r="E702">
        <v>0.07836990595611285</v>
      </c>
      <c r="F702">
        <v>0</v>
      </c>
      <c r="G702">
        <v>0.000399201724016196</v>
      </c>
      <c r="H702">
        <v>1.454751672819064</v>
      </c>
      <c r="I702">
        <v>758.078152</v>
      </c>
      <c r="J702" t="s">
        <v>1921</v>
      </c>
      <c r="K702" t="s">
        <v>1921</v>
      </c>
      <c r="L702">
        <v>0.8107938250483501</v>
      </c>
      <c r="M702">
        <v>23.53</v>
      </c>
      <c r="N702">
        <v>14.71</v>
      </c>
    </row>
    <row r="703" spans="1:14">
      <c r="A703" s="1" t="s">
        <v>715</v>
      </c>
      <c r="B703">
        <f>HYPERLINK("https://www.suredividend.com/sure-analysis-research-database/","Gossamer Bio Inc")</f>
        <v>0</v>
      </c>
      <c r="C703" t="s">
        <v>1922</v>
      </c>
      <c r="D703">
        <v>2.16</v>
      </c>
      <c r="E703">
        <v>0</v>
      </c>
      <c r="F703" t="s">
        <v>1921</v>
      </c>
      <c r="G703" t="s">
        <v>1921</v>
      </c>
      <c r="H703">
        <v>0</v>
      </c>
      <c r="I703">
        <v>204.06989</v>
      </c>
      <c r="J703">
        <v>0</v>
      </c>
      <c r="K703" t="s">
        <v>1921</v>
      </c>
      <c r="L703">
        <v>1.090843076685011</v>
      </c>
      <c r="M703">
        <v>15.2</v>
      </c>
      <c r="N703">
        <v>1.57</v>
      </c>
    </row>
    <row r="704" spans="1:14">
      <c r="A704" s="1" t="s">
        <v>716</v>
      </c>
      <c r="B704">
        <f>HYPERLINK("https://www.suredividend.com/sure-analysis-research-database/","Group 1 Automotive, Inc.")</f>
        <v>0</v>
      </c>
      <c r="C704" t="s">
        <v>1927</v>
      </c>
      <c r="D704">
        <v>181.79</v>
      </c>
      <c r="E704">
        <v>0.008230471602988001</v>
      </c>
      <c r="F704" t="s">
        <v>1921</v>
      </c>
      <c r="G704" t="s">
        <v>1921</v>
      </c>
      <c r="H704">
        <v>1.496217432707343</v>
      </c>
      <c r="I704">
        <v>2650.634179</v>
      </c>
      <c r="J704">
        <v>4.003979122235649</v>
      </c>
      <c r="K704">
        <v>0.03680731691776982</v>
      </c>
      <c r="L704">
        <v>1.047804720448451</v>
      </c>
      <c r="M704">
        <v>200.03</v>
      </c>
      <c r="N704">
        <v>135.88</v>
      </c>
    </row>
    <row r="705" spans="1:14">
      <c r="A705" s="1" t="s">
        <v>717</v>
      </c>
      <c r="B705">
        <f>HYPERLINK("https://www.suredividend.com/sure-analysis-research-database/","Granite Point Mortgage Trust Inc")</f>
        <v>0</v>
      </c>
      <c r="C705" t="s">
        <v>1929</v>
      </c>
      <c r="D705">
        <v>5.71</v>
      </c>
      <c r="E705">
        <v>0.157486466773707</v>
      </c>
      <c r="F705" t="s">
        <v>1921</v>
      </c>
      <c r="G705" t="s">
        <v>1921</v>
      </c>
      <c r="H705">
        <v>0.8992477252778701</v>
      </c>
      <c r="I705">
        <v>298.924147</v>
      </c>
      <c r="J705" t="s">
        <v>1921</v>
      </c>
      <c r="K705" t="s">
        <v>1921</v>
      </c>
      <c r="L705">
        <v>0.9136578790714751</v>
      </c>
      <c r="M705">
        <v>10.92</v>
      </c>
      <c r="N705">
        <v>5.1</v>
      </c>
    </row>
    <row r="706" spans="1:14">
      <c r="A706" s="1" t="s">
        <v>718</v>
      </c>
      <c r="B706">
        <f>HYPERLINK("https://www.suredividend.com/sure-analysis-research-database/","Green Plains Inc")</f>
        <v>0</v>
      </c>
      <c r="C706" t="s">
        <v>1925</v>
      </c>
      <c r="D706">
        <v>31.14</v>
      </c>
      <c r="E706">
        <v>0</v>
      </c>
      <c r="F706" t="s">
        <v>1921</v>
      </c>
      <c r="G706" t="s">
        <v>1921</v>
      </c>
      <c r="H706">
        <v>0</v>
      </c>
      <c r="I706">
        <v>1846.461745</v>
      </c>
      <c r="J706" t="s">
        <v>1921</v>
      </c>
      <c r="K706">
        <v>-0</v>
      </c>
      <c r="L706">
        <v>1.340144969218848</v>
      </c>
      <c r="M706">
        <v>41.25</v>
      </c>
      <c r="N706">
        <v>26.09</v>
      </c>
    </row>
    <row r="707" spans="1:14">
      <c r="A707" s="1" t="s">
        <v>719</v>
      </c>
      <c r="B707">
        <f>HYPERLINK("https://www.suredividend.com/sure-analysis-research-database/","GoPro Inc.")</f>
        <v>0</v>
      </c>
      <c r="C707" t="s">
        <v>1920</v>
      </c>
      <c r="D707">
        <v>5.23</v>
      </c>
      <c r="E707">
        <v>0</v>
      </c>
      <c r="F707" t="s">
        <v>1921</v>
      </c>
      <c r="G707" t="s">
        <v>1921</v>
      </c>
      <c r="H707">
        <v>0</v>
      </c>
      <c r="I707">
        <v>678.1659519999999</v>
      </c>
      <c r="J707">
        <v>8.650075914030612</v>
      </c>
      <c r="K707">
        <v>0</v>
      </c>
      <c r="L707">
        <v>1.292343844916884</v>
      </c>
      <c r="M707">
        <v>10.74</v>
      </c>
      <c r="N707">
        <v>4.5</v>
      </c>
    </row>
    <row r="708" spans="1:14">
      <c r="A708" s="1" t="s">
        <v>720</v>
      </c>
      <c r="B708">
        <f>HYPERLINK("https://www.suredividend.com/sure-analysis-research-database/","Green Brick Partners Inc")</f>
        <v>0</v>
      </c>
      <c r="C708" t="s">
        <v>1927</v>
      </c>
      <c r="D708">
        <v>27.03</v>
      </c>
      <c r="E708">
        <v>0</v>
      </c>
      <c r="F708" t="s">
        <v>1921</v>
      </c>
      <c r="G708" t="s">
        <v>1921</v>
      </c>
      <c r="H708">
        <v>0</v>
      </c>
      <c r="I708">
        <v>1244.397652</v>
      </c>
      <c r="J708">
        <v>4.181499927653598</v>
      </c>
      <c r="K708">
        <v>0</v>
      </c>
      <c r="L708">
        <v>1.459027979530935</v>
      </c>
      <c r="M708">
        <v>30.8</v>
      </c>
      <c r="N708">
        <v>16.8</v>
      </c>
    </row>
    <row r="709" spans="1:14">
      <c r="A709" s="1" t="s">
        <v>721</v>
      </c>
      <c r="B709">
        <f>HYPERLINK("https://www.suredividend.com/sure-analysis-GRC/","Gorman-Rupp Co.")</f>
        <v>0</v>
      </c>
      <c r="C709" t="s">
        <v>1924</v>
      </c>
      <c r="D709">
        <v>26.13</v>
      </c>
      <c r="E709">
        <v>0.0267891312667432</v>
      </c>
      <c r="F709">
        <v>0.02941176470588247</v>
      </c>
      <c r="G709">
        <v>0.06961037572506878</v>
      </c>
      <c r="H709">
        <v>0.678803056868847</v>
      </c>
      <c r="I709">
        <v>681.858822</v>
      </c>
      <c r="J709">
        <v>44.53391825811507</v>
      </c>
      <c r="K709">
        <v>1.15698492733739</v>
      </c>
      <c r="L709">
        <v>0.720584571775244</v>
      </c>
      <c r="M709">
        <v>41.97</v>
      </c>
      <c r="N709">
        <v>22.53</v>
      </c>
    </row>
    <row r="710" spans="1:14">
      <c r="A710" s="1" t="s">
        <v>722</v>
      </c>
      <c r="B710">
        <f>HYPERLINK("https://www.suredividend.com/sure-analysis-research-database/","Graphite Bio Inc")</f>
        <v>0</v>
      </c>
      <c r="C710" t="s">
        <v>1921</v>
      </c>
      <c r="D710">
        <v>1.915</v>
      </c>
      <c r="E710">
        <v>0</v>
      </c>
      <c r="F710" t="s">
        <v>1921</v>
      </c>
      <c r="G710" t="s">
        <v>1921</v>
      </c>
      <c r="H710">
        <v>0</v>
      </c>
      <c r="I710">
        <v>111.361687</v>
      </c>
      <c r="J710">
        <v>0</v>
      </c>
      <c r="K710" t="s">
        <v>1921</v>
      </c>
      <c r="L710">
        <v>1.176190723614861</v>
      </c>
      <c r="M710">
        <v>11.54</v>
      </c>
      <c r="N710">
        <v>1.59</v>
      </c>
    </row>
    <row r="711" spans="1:14">
      <c r="A711" s="1" t="s">
        <v>723</v>
      </c>
      <c r="B711">
        <f>HYPERLINK("https://www.suredividend.com/sure-analysis-research-database/","Groupon Inc")</f>
        <v>0</v>
      </c>
      <c r="C711" t="s">
        <v>1931</v>
      </c>
      <c r="D711">
        <v>8.42</v>
      </c>
      <c r="E711">
        <v>0</v>
      </c>
      <c r="F711" t="s">
        <v>1921</v>
      </c>
      <c r="G711" t="s">
        <v>1921</v>
      </c>
      <c r="H711">
        <v>0</v>
      </c>
      <c r="I711">
        <v>256.28274</v>
      </c>
      <c r="J711" t="s">
        <v>1921</v>
      </c>
      <c r="K711">
        <v>-0</v>
      </c>
      <c r="L711">
        <v>1.617448000740897</v>
      </c>
      <c r="M711">
        <v>31.15</v>
      </c>
      <c r="N711">
        <v>6.22</v>
      </c>
    </row>
    <row r="712" spans="1:14">
      <c r="A712" s="1" t="s">
        <v>724</v>
      </c>
      <c r="B712">
        <f>HYPERLINK("https://www.suredividend.com/sure-analysis-research-database/","Gritstone Bio Inc")</f>
        <v>0</v>
      </c>
      <c r="C712" t="s">
        <v>1922</v>
      </c>
      <c r="D712">
        <v>3.67</v>
      </c>
      <c r="E712">
        <v>0</v>
      </c>
      <c r="F712" t="s">
        <v>1921</v>
      </c>
      <c r="G712" t="s">
        <v>1921</v>
      </c>
      <c r="H712">
        <v>0</v>
      </c>
      <c r="I712">
        <v>305.954237</v>
      </c>
      <c r="J712">
        <v>0</v>
      </c>
      <c r="K712" t="s">
        <v>1921</v>
      </c>
      <c r="L712">
        <v>1.672189949921683</v>
      </c>
      <c r="M712">
        <v>7.13</v>
      </c>
      <c r="N712">
        <v>1.71</v>
      </c>
    </row>
    <row r="713" spans="1:14">
      <c r="A713" s="1" t="s">
        <v>725</v>
      </c>
      <c r="B713">
        <f>HYPERLINK("https://www.suredividend.com/sure-analysis-research-database/","GrowGeneration Corp")</f>
        <v>0</v>
      </c>
      <c r="C713" t="s">
        <v>1927</v>
      </c>
      <c r="D713">
        <v>4.12</v>
      </c>
      <c r="E713">
        <v>0</v>
      </c>
      <c r="F713" t="s">
        <v>1921</v>
      </c>
      <c r="G713" t="s">
        <v>1921</v>
      </c>
      <c r="H713">
        <v>0</v>
      </c>
      <c r="I713">
        <v>251.027871</v>
      </c>
      <c r="J713" t="s">
        <v>1921</v>
      </c>
      <c r="K713">
        <v>-0</v>
      </c>
      <c r="L713">
        <v>2.127875673497323</v>
      </c>
      <c r="M713">
        <v>11.83</v>
      </c>
      <c r="N713">
        <v>2.92</v>
      </c>
    </row>
    <row r="714" spans="1:14">
      <c r="A714" s="1" t="s">
        <v>726</v>
      </c>
      <c r="B714">
        <f>HYPERLINK("https://www.suredividend.com/sure-analysis-research-database/","Globalstar Inc.")</f>
        <v>0</v>
      </c>
      <c r="C714" t="s">
        <v>1931</v>
      </c>
      <c r="D714">
        <v>1.26</v>
      </c>
      <c r="E714">
        <v>0</v>
      </c>
      <c r="F714" t="s">
        <v>1921</v>
      </c>
      <c r="G714" t="s">
        <v>1921</v>
      </c>
      <c r="H714">
        <v>0</v>
      </c>
      <c r="I714">
        <v>2269.26</v>
      </c>
      <c r="J714" t="s">
        <v>1921</v>
      </c>
      <c r="K714">
        <v>-0</v>
      </c>
      <c r="L714">
        <v>1.391918763121999</v>
      </c>
      <c r="M714">
        <v>2.98</v>
      </c>
      <c r="N714">
        <v>0.9025000000000001</v>
      </c>
    </row>
    <row r="715" spans="1:14">
      <c r="A715" s="1" t="s">
        <v>727</v>
      </c>
      <c r="B715">
        <f>HYPERLINK("https://www.suredividend.com/sure-analysis-research-database/","Great Southern Bancorp, Inc.")</f>
        <v>0</v>
      </c>
      <c r="C715" t="s">
        <v>1923</v>
      </c>
      <c r="D715">
        <v>59.07</v>
      </c>
      <c r="E715">
        <v>0.02614867490729</v>
      </c>
      <c r="F715">
        <v>0.1111111111111112</v>
      </c>
      <c r="G715">
        <v>0.04563955259127317</v>
      </c>
      <c r="H715">
        <v>1.544602226773645</v>
      </c>
      <c r="I715">
        <v>721.533493</v>
      </c>
      <c r="J715">
        <v>10.51414926382514</v>
      </c>
      <c r="K715">
        <v>0.2903387644311363</v>
      </c>
      <c r="L715">
        <v>0.42969842777532</v>
      </c>
      <c r="M715">
        <v>63.73</v>
      </c>
      <c r="N715">
        <v>49.62</v>
      </c>
    </row>
    <row r="716" spans="1:14">
      <c r="A716" s="1" t="s">
        <v>728</v>
      </c>
      <c r="B716">
        <f>HYPERLINK("https://www.suredividend.com/sure-analysis-research-database/","Goosehead Insurance Inc")</f>
        <v>0</v>
      </c>
      <c r="C716" t="s">
        <v>1923</v>
      </c>
      <c r="D716">
        <v>31.95</v>
      </c>
      <c r="E716">
        <v>0</v>
      </c>
      <c r="F716" t="s">
        <v>1921</v>
      </c>
      <c r="G716" t="s">
        <v>1921</v>
      </c>
      <c r="H716">
        <v>0</v>
      </c>
      <c r="I716">
        <v>675.655884</v>
      </c>
      <c r="J716">
        <v>0</v>
      </c>
      <c r="K716" t="s">
        <v>1921</v>
      </c>
      <c r="L716">
        <v>1.993947880141876</v>
      </c>
      <c r="M716">
        <v>113.26</v>
      </c>
      <c r="N716">
        <v>29.23</v>
      </c>
    </row>
    <row r="717" spans="1:14">
      <c r="A717" s="1" t="s">
        <v>729</v>
      </c>
      <c r="B717">
        <f>HYPERLINK("https://www.suredividend.com/sure-analysis-research-database/","Goodyear Tire &amp; Rubber Co.")</f>
        <v>0</v>
      </c>
      <c r="C717" t="s">
        <v>1927</v>
      </c>
      <c r="D717">
        <v>11.12</v>
      </c>
      <c r="E717">
        <v>0</v>
      </c>
      <c r="F717" t="s">
        <v>1921</v>
      </c>
      <c r="G717" t="s">
        <v>1921</v>
      </c>
      <c r="H717">
        <v>0</v>
      </c>
      <c r="I717">
        <v>3145.41452</v>
      </c>
      <c r="J717">
        <v>3.661716554318976</v>
      </c>
      <c r="K717">
        <v>0</v>
      </c>
      <c r="L717">
        <v>1.810726819568869</v>
      </c>
      <c r="M717">
        <v>24.17</v>
      </c>
      <c r="N717">
        <v>9.66</v>
      </c>
    </row>
    <row r="718" spans="1:14">
      <c r="A718" s="1" t="s">
        <v>730</v>
      </c>
      <c r="B718">
        <f>HYPERLINK("https://www.suredividend.com/sure-analysis-research-database/","GT Biopharma Inc")</f>
        <v>0</v>
      </c>
      <c r="C718" t="s">
        <v>1922</v>
      </c>
      <c r="D718">
        <v>1</v>
      </c>
      <c r="E718">
        <v>0</v>
      </c>
      <c r="F718" t="s">
        <v>1921</v>
      </c>
      <c r="G718" t="s">
        <v>1921</v>
      </c>
      <c r="H718">
        <v>0</v>
      </c>
      <c r="I718">
        <v>32.50762</v>
      </c>
      <c r="J718">
        <v>0</v>
      </c>
      <c r="K718" t="s">
        <v>1921</v>
      </c>
      <c r="L718">
        <v>1.219537811863507</v>
      </c>
      <c r="M718">
        <v>3.74</v>
      </c>
      <c r="N718">
        <v>0.8756</v>
      </c>
    </row>
    <row r="719" spans="1:14">
      <c r="A719" s="1" t="s">
        <v>731</v>
      </c>
      <c r="B719">
        <f>HYPERLINK("https://www.suredividend.com/sure-analysis-research-database/","G1 Therapeutics Inc")</f>
        <v>0</v>
      </c>
      <c r="C719" t="s">
        <v>1922</v>
      </c>
      <c r="D719">
        <v>5.32</v>
      </c>
      <c r="E719">
        <v>0</v>
      </c>
      <c r="F719" t="s">
        <v>1921</v>
      </c>
      <c r="G719" t="s">
        <v>1921</v>
      </c>
      <c r="H719">
        <v>0</v>
      </c>
      <c r="I719">
        <v>228.292271</v>
      </c>
      <c r="J719">
        <v>0</v>
      </c>
      <c r="K719" t="s">
        <v>1921</v>
      </c>
      <c r="L719">
        <v>1.537176236920509</v>
      </c>
      <c r="M719">
        <v>17.49</v>
      </c>
      <c r="N719">
        <v>3.84</v>
      </c>
    </row>
    <row r="720" spans="1:14">
      <c r="A720" s="1" t="s">
        <v>732</v>
      </c>
      <c r="B720">
        <f>HYPERLINK("https://www.suredividend.com/sure-analysis-research-database/","Chart Industries Inc")</f>
        <v>0</v>
      </c>
      <c r="C720" t="s">
        <v>1924</v>
      </c>
      <c r="D720">
        <v>123</v>
      </c>
      <c r="E720">
        <v>0</v>
      </c>
      <c r="F720" t="s">
        <v>1921</v>
      </c>
      <c r="G720" t="s">
        <v>1921</v>
      </c>
      <c r="H720">
        <v>0</v>
      </c>
      <c r="I720">
        <v>4506.641526</v>
      </c>
      <c r="J720">
        <v>58.91034674509803</v>
      </c>
      <c r="K720">
        <v>0</v>
      </c>
      <c r="L720">
        <v>1.165173564491323</v>
      </c>
      <c r="M720">
        <v>242.59</v>
      </c>
      <c r="N720">
        <v>107.68</v>
      </c>
    </row>
    <row r="721" spans="1:14">
      <c r="A721" s="1" t="s">
        <v>733</v>
      </c>
      <c r="B721">
        <f>HYPERLINK("https://www.suredividend.com/sure-analysis-research-database/","Gray Television, Inc.")</f>
        <v>0</v>
      </c>
      <c r="C721" t="s">
        <v>1931</v>
      </c>
      <c r="D721">
        <v>11.64</v>
      </c>
      <c r="E721">
        <v>0.027262290353968</v>
      </c>
      <c r="F721" t="s">
        <v>1921</v>
      </c>
      <c r="G721" t="s">
        <v>1921</v>
      </c>
      <c r="H721">
        <v>0.317333059720199</v>
      </c>
      <c r="I721">
        <v>1081.915283</v>
      </c>
      <c r="J721">
        <v>4.398029607195122</v>
      </c>
      <c r="K721">
        <v>0.1211194884428241</v>
      </c>
      <c r="L721">
        <v>0.8778300193099661</v>
      </c>
      <c r="M721">
        <v>24.34</v>
      </c>
      <c r="N721">
        <v>8.550000000000001</v>
      </c>
    </row>
    <row r="722" spans="1:14">
      <c r="A722" s="1" t="s">
        <v>734</v>
      </c>
      <c r="B722">
        <f>HYPERLINK("https://www.suredividend.com/sure-analysis-research-database/","Getty Realty Corp.")</f>
        <v>0</v>
      </c>
      <c r="C722" t="s">
        <v>1929</v>
      </c>
      <c r="D722">
        <v>34.26</v>
      </c>
      <c r="E722">
        <v>0.04749080358197701</v>
      </c>
      <c r="F722">
        <v>0.04878048780487787</v>
      </c>
      <c r="G722">
        <v>0.06087373042094901</v>
      </c>
      <c r="H722">
        <v>1.627034930718542</v>
      </c>
      <c r="I722">
        <v>1601.109581</v>
      </c>
      <c r="J722">
        <v>20.31632910961946</v>
      </c>
      <c r="K722">
        <v>0.9627425625553503</v>
      </c>
      <c r="L722">
        <v>0.556735752013797</v>
      </c>
      <c r="M722">
        <v>35.77</v>
      </c>
      <c r="N722">
        <v>23.63</v>
      </c>
    </row>
    <row r="723" spans="1:14">
      <c r="A723" s="1" t="s">
        <v>735</v>
      </c>
      <c r="B723">
        <f>HYPERLINK("https://www.suredividend.com/sure-analysis-research-database/","GTY Technology Holdings Inc")</f>
        <v>0</v>
      </c>
      <c r="C723" t="s">
        <v>1920</v>
      </c>
      <c r="D723">
        <v>6.3</v>
      </c>
      <c r="E723">
        <v>0</v>
      </c>
      <c r="F723" t="s">
        <v>1921</v>
      </c>
      <c r="G723" t="s">
        <v>1921</v>
      </c>
      <c r="H723">
        <v>0</v>
      </c>
      <c r="I723">
        <v>0</v>
      </c>
      <c r="J723">
        <v>0</v>
      </c>
      <c r="K723" t="s">
        <v>1921</v>
      </c>
    </row>
    <row r="724" spans="1:14">
      <c r="A724" s="1" t="s">
        <v>736</v>
      </c>
      <c r="B724">
        <f>HYPERLINK("https://www.suredividend.com/sure-analysis-research-database/","Granite Construction Inc.")</f>
        <v>0</v>
      </c>
      <c r="C724" t="s">
        <v>1924</v>
      </c>
      <c r="D724">
        <v>35.35</v>
      </c>
      <c r="E724">
        <v>0.014616842370204</v>
      </c>
      <c r="F724">
        <v>0</v>
      </c>
      <c r="G724">
        <v>0</v>
      </c>
      <c r="H724">
        <v>0.5167053777867411</v>
      </c>
      <c r="I724">
        <v>1545.857444</v>
      </c>
      <c r="J724">
        <v>24.00697981503913</v>
      </c>
      <c r="K724">
        <v>0.3690752698476722</v>
      </c>
      <c r="L724">
        <v>0.732245790034292</v>
      </c>
      <c r="M724">
        <v>37.79</v>
      </c>
      <c r="N724">
        <v>25.26</v>
      </c>
    </row>
    <row r="725" spans="1:14">
      <c r="A725" s="1" t="s">
        <v>737</v>
      </c>
      <c r="B725">
        <f>HYPERLINK("https://www.suredividend.com/sure-analysis-GWRS/","Global Water Resources Inc")</f>
        <v>0</v>
      </c>
      <c r="C725" t="s">
        <v>1930</v>
      </c>
      <c r="D725">
        <v>14.13</v>
      </c>
      <c r="E725">
        <v>0.02123142250530785</v>
      </c>
      <c r="F725">
        <v>0.01017087062652555</v>
      </c>
      <c r="G725">
        <v>0.003994258263509964</v>
      </c>
      <c r="H725">
        <v>0.292241251933024</v>
      </c>
      <c r="I725">
        <v>337.230621</v>
      </c>
      <c r="J725">
        <v>0</v>
      </c>
      <c r="K725" t="s">
        <v>1921</v>
      </c>
      <c r="L725">
        <v>0.5804841503680871</v>
      </c>
      <c r="M725">
        <v>17.07</v>
      </c>
      <c r="N725">
        <v>10.55</v>
      </c>
    </row>
    <row r="726" spans="1:14">
      <c r="A726" s="1" t="s">
        <v>738</v>
      </c>
      <c r="B726">
        <f>HYPERLINK("https://www.suredividend.com/sure-analysis-research-database/","Hawaiian Holdings, Inc.")</f>
        <v>0</v>
      </c>
      <c r="C726" t="s">
        <v>1924</v>
      </c>
      <c r="D726">
        <v>11.87</v>
      </c>
      <c r="E726">
        <v>0</v>
      </c>
      <c r="F726" t="s">
        <v>1921</v>
      </c>
      <c r="G726" t="s">
        <v>1921</v>
      </c>
      <c r="H726">
        <v>0</v>
      </c>
      <c r="I726">
        <v>610.252558</v>
      </c>
      <c r="J726" t="s">
        <v>1921</v>
      </c>
      <c r="K726">
        <v>-0</v>
      </c>
      <c r="L726">
        <v>1.501187946915957</v>
      </c>
      <c r="M726">
        <v>21.71</v>
      </c>
      <c r="N726">
        <v>9.640000000000001</v>
      </c>
    </row>
    <row r="727" spans="1:14">
      <c r="A727" s="1" t="s">
        <v>739</v>
      </c>
      <c r="B727">
        <f>HYPERLINK("https://www.suredividend.com/sure-analysis-research-database/","Haemonetics Corp.")</f>
        <v>0</v>
      </c>
      <c r="C727" t="s">
        <v>1922</v>
      </c>
      <c r="D727">
        <v>72.75</v>
      </c>
      <c r="E727">
        <v>0</v>
      </c>
      <c r="F727" t="s">
        <v>1921</v>
      </c>
      <c r="G727" t="s">
        <v>1921</v>
      </c>
      <c r="H727">
        <v>0</v>
      </c>
      <c r="I727">
        <v>3681.758336</v>
      </c>
      <c r="J727">
        <v>42.78775942798703</v>
      </c>
      <c r="K727">
        <v>0</v>
      </c>
      <c r="L727">
        <v>0.846461433459991</v>
      </c>
      <c r="M727">
        <v>86.58</v>
      </c>
      <c r="N727">
        <v>43.5</v>
      </c>
    </row>
    <row r="728" spans="1:14">
      <c r="A728" s="1" t="s">
        <v>740</v>
      </c>
      <c r="B728">
        <f>HYPERLINK("https://www.suredividend.com/sure-analysis-research-database/","Hanmi Financial Corp.")</f>
        <v>0</v>
      </c>
      <c r="C728" t="s">
        <v>1923</v>
      </c>
      <c r="D728">
        <v>24.26</v>
      </c>
      <c r="E728">
        <v>0.038210805332654</v>
      </c>
      <c r="F728">
        <v>0.25</v>
      </c>
      <c r="G728">
        <v>0.008197818497166498</v>
      </c>
      <c r="H728">
        <v>0.9269941373701891</v>
      </c>
      <c r="I728">
        <v>739.59315</v>
      </c>
      <c r="J728">
        <v>7.007040738038845</v>
      </c>
      <c r="K728">
        <v>0.2671452845447231</v>
      </c>
      <c r="L728">
        <v>0.811693929992184</v>
      </c>
      <c r="M728">
        <v>27.78</v>
      </c>
      <c r="N728">
        <v>20.94</v>
      </c>
    </row>
    <row r="729" spans="1:14">
      <c r="A729" s="1" t="s">
        <v>741</v>
      </c>
      <c r="B729">
        <f>HYPERLINK("https://www.suredividend.com/sure-analysis-research-database/","Halozyme Therapeutics Inc.")</f>
        <v>0</v>
      </c>
      <c r="C729" t="s">
        <v>1922</v>
      </c>
      <c r="D729">
        <v>55.04</v>
      </c>
      <c r="E729">
        <v>0</v>
      </c>
      <c r="F729" t="s">
        <v>1921</v>
      </c>
      <c r="G729" t="s">
        <v>1921</v>
      </c>
      <c r="H729">
        <v>0</v>
      </c>
      <c r="I729">
        <v>7442.126712</v>
      </c>
      <c r="J729">
        <v>35.23784292542034</v>
      </c>
      <c r="K729">
        <v>0</v>
      </c>
      <c r="L729">
        <v>0.824604297636476</v>
      </c>
      <c r="M729">
        <v>59.46</v>
      </c>
      <c r="N729">
        <v>31.36</v>
      </c>
    </row>
    <row r="730" spans="1:14">
      <c r="A730" s="1" t="s">
        <v>742</v>
      </c>
      <c r="B730">
        <f>HYPERLINK("https://www.suredividend.com/sure-analysis-research-database/","Harpoon Therapeutics Inc")</f>
        <v>0</v>
      </c>
      <c r="C730" t="s">
        <v>1922</v>
      </c>
      <c r="D730">
        <v>0.75</v>
      </c>
      <c r="E730">
        <v>0</v>
      </c>
      <c r="F730" t="s">
        <v>1921</v>
      </c>
      <c r="G730" t="s">
        <v>1921</v>
      </c>
      <c r="H730">
        <v>0</v>
      </c>
      <c r="I730">
        <v>24.830076</v>
      </c>
      <c r="J730">
        <v>0</v>
      </c>
      <c r="K730" t="s">
        <v>1921</v>
      </c>
      <c r="L730">
        <v>1.626695983604755</v>
      </c>
      <c r="M730">
        <v>6.53</v>
      </c>
      <c r="N730">
        <v>0.5857</v>
      </c>
    </row>
    <row r="731" spans="1:14">
      <c r="A731" s="1" t="s">
        <v>743</v>
      </c>
      <c r="B731">
        <f>HYPERLINK("https://www.suredividend.com/sure-analysis-HASI/","Hannon Armstrong Sustainable Infrastructure capital Inc")</f>
        <v>0</v>
      </c>
      <c r="C731" t="s">
        <v>1929</v>
      </c>
      <c r="D731">
        <v>31.37</v>
      </c>
      <c r="E731">
        <v>0.04781638508128785</v>
      </c>
      <c r="F731">
        <v>0.0714285714285714</v>
      </c>
      <c r="G731">
        <v>0.02589630491023409</v>
      </c>
      <c r="H731">
        <v>1.473141265730393</v>
      </c>
      <c r="I731">
        <v>2791.256612</v>
      </c>
      <c r="J731">
        <v>22.53739694452968</v>
      </c>
      <c r="K731">
        <v>1.099359153530144</v>
      </c>
      <c r="L731">
        <v>1.274530447083043</v>
      </c>
      <c r="M731">
        <v>49.53</v>
      </c>
      <c r="N731">
        <v>21.29</v>
      </c>
    </row>
    <row r="732" spans="1:14">
      <c r="A732" s="1" t="s">
        <v>744</v>
      </c>
      <c r="B732">
        <f>HYPERLINK("https://www.suredividend.com/sure-analysis-research-database/","Haynes International Inc.")</f>
        <v>0</v>
      </c>
      <c r="C732" t="s">
        <v>1924</v>
      </c>
      <c r="D732">
        <v>50.57</v>
      </c>
      <c r="E732">
        <v>0.017297209981631</v>
      </c>
      <c r="F732">
        <v>0</v>
      </c>
      <c r="G732">
        <v>0</v>
      </c>
      <c r="H732">
        <v>0.874719908771117</v>
      </c>
      <c r="I732">
        <v>633.19137</v>
      </c>
      <c r="J732">
        <v>20.22652514262897</v>
      </c>
      <c r="K732">
        <v>0.348493987558214</v>
      </c>
      <c r="L732">
        <v>1.175155868147626</v>
      </c>
      <c r="M732">
        <v>57.07</v>
      </c>
      <c r="N732">
        <v>28.72</v>
      </c>
    </row>
    <row r="733" spans="1:14">
      <c r="A733" s="1" t="s">
        <v>745</v>
      </c>
      <c r="B733">
        <f>HYPERLINK("https://www.suredividend.com/sure-analysis-research-database/","Hamilton Beach Brands Holding Co")</f>
        <v>0</v>
      </c>
      <c r="C733" t="s">
        <v>1920</v>
      </c>
      <c r="D733">
        <v>12.3</v>
      </c>
      <c r="E733">
        <v>0.033339522379185</v>
      </c>
      <c r="F733">
        <v>0.04999999999999982</v>
      </c>
      <c r="G733">
        <v>0.04316756381013498</v>
      </c>
      <c r="H733">
        <v>0.410076125263987</v>
      </c>
      <c r="I733">
        <v>47.429304</v>
      </c>
      <c r="J733">
        <v>1.539562576687116</v>
      </c>
      <c r="K733">
        <v>0.1863982387563577</v>
      </c>
      <c r="L733">
        <v>0.6600454703346611</v>
      </c>
      <c r="M733">
        <v>15.76</v>
      </c>
      <c r="N733">
        <v>8.949999999999999</v>
      </c>
    </row>
    <row r="734" spans="1:14">
      <c r="A734" s="1" t="s">
        <v>746</v>
      </c>
      <c r="B734">
        <f>HYPERLINK("https://www.suredividend.com/sure-analysis-research-database/","Home Bancorp Inc")</f>
        <v>0</v>
      </c>
      <c r="C734" t="s">
        <v>1923</v>
      </c>
      <c r="D734">
        <v>39.54</v>
      </c>
      <c r="E734">
        <v>0.023315361608501</v>
      </c>
      <c r="F734">
        <v>0.04347826086956519</v>
      </c>
      <c r="G734">
        <v>0.09856054330611785</v>
      </c>
      <c r="H734">
        <v>0.9218893980001561</v>
      </c>
      <c r="I734">
        <v>327.455808</v>
      </c>
      <c r="J734">
        <v>9.764889615315798</v>
      </c>
      <c r="K734">
        <v>0.2265084515970899</v>
      </c>
      <c r="L734">
        <v>0.5030586778708981</v>
      </c>
      <c r="M734">
        <v>44.38</v>
      </c>
      <c r="N734">
        <v>32.78</v>
      </c>
    </row>
    <row r="735" spans="1:14">
      <c r="A735" s="1" t="s">
        <v>747</v>
      </c>
      <c r="B735">
        <f>HYPERLINK("https://www.suredividend.com/sure-analysis-research-database/","Harvard Bioscience Inc.")</f>
        <v>0</v>
      </c>
      <c r="C735" t="s">
        <v>1922</v>
      </c>
      <c r="D735">
        <v>2.77</v>
      </c>
      <c r="E735">
        <v>0</v>
      </c>
      <c r="F735" t="s">
        <v>1921</v>
      </c>
      <c r="G735" t="s">
        <v>1921</v>
      </c>
      <c r="H735">
        <v>0</v>
      </c>
      <c r="I735">
        <v>115.391796</v>
      </c>
      <c r="J735">
        <v>0</v>
      </c>
      <c r="K735" t="s">
        <v>1921</v>
      </c>
      <c r="L735">
        <v>0.9582390373266541</v>
      </c>
      <c r="M735">
        <v>6.66</v>
      </c>
      <c r="N735">
        <v>1.98</v>
      </c>
    </row>
    <row r="736" spans="1:14">
      <c r="A736" s="1" t="s">
        <v>748</v>
      </c>
      <c r="B736">
        <f>HYPERLINK("https://www.suredividend.com/sure-analysis-research-database/","Horizon Bancorp Inc (IN)")</f>
        <v>0</v>
      </c>
      <c r="C736" t="s">
        <v>1923</v>
      </c>
      <c r="D736">
        <v>15.52</v>
      </c>
      <c r="E736">
        <v>0.040023795393406</v>
      </c>
      <c r="F736">
        <v>0.06666666666666665</v>
      </c>
      <c r="G736">
        <v>0.01299136822423641</v>
      </c>
      <c r="H736">
        <v>0.6211693045056711</v>
      </c>
      <c r="I736">
        <v>681.869477</v>
      </c>
      <c r="J736">
        <v>7.279641684246487</v>
      </c>
      <c r="K736">
        <v>0.2902660301428369</v>
      </c>
      <c r="L736">
        <v>0.701269127885871</v>
      </c>
      <c r="M736">
        <v>22.95</v>
      </c>
      <c r="N736">
        <v>14.35</v>
      </c>
    </row>
    <row r="737" spans="1:14">
      <c r="A737" s="1" t="s">
        <v>749</v>
      </c>
      <c r="B737">
        <f>HYPERLINK("https://www.suredividend.com/sure-analysis-research-database/","HBT Financial Inc")</f>
        <v>0</v>
      </c>
      <c r="C737" t="s">
        <v>1923</v>
      </c>
      <c r="D737">
        <v>19.68</v>
      </c>
      <c r="E737">
        <v>0.032119759074297</v>
      </c>
      <c r="F737" t="s">
        <v>1921</v>
      </c>
      <c r="G737" t="s">
        <v>1921</v>
      </c>
      <c r="H737">
        <v>0.632116858582171</v>
      </c>
      <c r="I737">
        <v>565.85168</v>
      </c>
      <c r="J737">
        <v>0</v>
      </c>
      <c r="K737" t="s">
        <v>1921</v>
      </c>
      <c r="L737">
        <v>0.534830571776039</v>
      </c>
      <c r="M737">
        <v>22.48</v>
      </c>
      <c r="N737">
        <v>15.83</v>
      </c>
    </row>
    <row r="738" spans="1:14">
      <c r="A738" s="1" t="s">
        <v>750</v>
      </c>
      <c r="B738">
        <f>HYPERLINK("https://www.suredividend.com/sure-analysis-research-database/","Health Catalyst Inc")</f>
        <v>0</v>
      </c>
      <c r="C738" t="s">
        <v>1922</v>
      </c>
      <c r="D738">
        <v>10.48</v>
      </c>
      <c r="E738">
        <v>0</v>
      </c>
      <c r="F738" t="s">
        <v>1921</v>
      </c>
      <c r="G738" t="s">
        <v>1921</v>
      </c>
      <c r="H738">
        <v>0</v>
      </c>
      <c r="I738">
        <v>573.790857</v>
      </c>
      <c r="J738">
        <v>0</v>
      </c>
      <c r="K738" t="s">
        <v>1921</v>
      </c>
      <c r="L738">
        <v>1.77456432516058</v>
      </c>
      <c r="M738">
        <v>35.4</v>
      </c>
      <c r="N738">
        <v>6.4</v>
      </c>
    </row>
    <row r="739" spans="1:14">
      <c r="A739" s="1" t="s">
        <v>751</v>
      </c>
      <c r="B739">
        <f>HYPERLINK("https://www.suredividend.com/sure-analysis-research-database/","Warrior Met Coal Inc")</f>
        <v>0</v>
      </c>
      <c r="C739" t="s">
        <v>1925</v>
      </c>
      <c r="D739">
        <v>33.61</v>
      </c>
      <c r="E739">
        <v>0.006946899755314001</v>
      </c>
      <c r="F739">
        <v>0</v>
      </c>
      <c r="G739">
        <v>0.03713728933664817</v>
      </c>
      <c r="H739">
        <v>0.23348530077612</v>
      </c>
      <c r="I739">
        <v>1736.07642</v>
      </c>
      <c r="J739">
        <v>2.552550556919665</v>
      </c>
      <c r="K739">
        <v>0.01772857257221868</v>
      </c>
      <c r="L739">
        <v>0.5923750200033311</v>
      </c>
      <c r="M739">
        <v>41.11</v>
      </c>
      <c r="N739">
        <v>23.81</v>
      </c>
    </row>
    <row r="740" spans="1:14">
      <c r="A740" s="1" t="s">
        <v>752</v>
      </c>
      <c r="B740">
        <f>HYPERLINK("https://www.suredividend.com/sure-analysis-research-database/","Heritage-Crystal Clean Inc")</f>
        <v>0</v>
      </c>
      <c r="C740" t="s">
        <v>1924</v>
      </c>
      <c r="D740">
        <v>33.41</v>
      </c>
      <c r="E740">
        <v>0</v>
      </c>
      <c r="F740" t="s">
        <v>1921</v>
      </c>
      <c r="G740" t="s">
        <v>1921</v>
      </c>
      <c r="H740">
        <v>0</v>
      </c>
      <c r="I740">
        <v>807.542385</v>
      </c>
      <c r="J740">
        <v>0</v>
      </c>
      <c r="K740" t="s">
        <v>1921</v>
      </c>
      <c r="L740">
        <v>0.86385019428412</v>
      </c>
      <c r="M740">
        <v>36.14</v>
      </c>
      <c r="N740">
        <v>24</v>
      </c>
    </row>
    <row r="741" spans="1:14">
      <c r="A741" s="1" t="s">
        <v>753</v>
      </c>
      <c r="B741">
        <f>HYPERLINK("https://www.suredividend.com/sure-analysis-research-database/","HCI Group Inc")</f>
        <v>0</v>
      </c>
      <c r="C741" t="s">
        <v>1923</v>
      </c>
      <c r="D741">
        <v>39.9</v>
      </c>
      <c r="E741">
        <v>0.039601390811182</v>
      </c>
      <c r="F741">
        <v>0</v>
      </c>
      <c r="G741">
        <v>0.02706608708935176</v>
      </c>
      <c r="H741">
        <v>1.580095493366162</v>
      </c>
      <c r="I741">
        <v>349.403103</v>
      </c>
      <c r="J741" t="s">
        <v>1921</v>
      </c>
      <c r="K741" t="s">
        <v>1921</v>
      </c>
      <c r="L741">
        <v>0.7241499162138481</v>
      </c>
      <c r="M741">
        <v>79.61</v>
      </c>
      <c r="N741">
        <v>27.37</v>
      </c>
    </row>
    <row r="742" spans="1:14">
      <c r="A742" s="1" t="s">
        <v>754</v>
      </c>
      <c r="B742">
        <f>HYPERLINK("https://www.suredividend.com/sure-analysis-research-database/","Hackett Group Inc (The)")</f>
        <v>0</v>
      </c>
      <c r="C742" t="s">
        <v>1920</v>
      </c>
      <c r="D742">
        <v>21.11</v>
      </c>
      <c r="E742">
        <v>0.020663556481994</v>
      </c>
      <c r="F742" t="s">
        <v>1921</v>
      </c>
      <c r="G742" t="s">
        <v>1921</v>
      </c>
      <c r="H742">
        <v>0.436207677334894</v>
      </c>
      <c r="I742">
        <v>669.252483</v>
      </c>
      <c r="J742">
        <v>14.05785878589283</v>
      </c>
      <c r="K742">
        <v>0.2967399165543497</v>
      </c>
      <c r="L742">
        <v>0.6191045304058791</v>
      </c>
      <c r="M742">
        <v>24.35</v>
      </c>
      <c r="N742">
        <v>16.54</v>
      </c>
    </row>
    <row r="743" spans="1:14">
      <c r="A743" s="1" t="s">
        <v>755</v>
      </c>
      <c r="B743">
        <f>HYPERLINK("https://www.suredividend.com/sure-analysis-HCSG/","Healthcare Services Group, Inc.")</f>
        <v>0</v>
      </c>
      <c r="C743" t="s">
        <v>1922</v>
      </c>
      <c r="D743">
        <v>13</v>
      </c>
      <c r="E743">
        <v>0.06615384615384615</v>
      </c>
      <c r="F743">
        <v>0.02380952380952372</v>
      </c>
      <c r="G743">
        <v>0.02368750698537969</v>
      </c>
      <c r="H743">
        <v>0.8341254575570801</v>
      </c>
      <c r="I743">
        <v>963.144</v>
      </c>
      <c r="J743">
        <v>46.80909797822706</v>
      </c>
      <c r="K743">
        <v>3.01345902296633</v>
      </c>
      <c r="L743">
        <v>0.7974109265190531</v>
      </c>
      <c r="M743">
        <v>19.69</v>
      </c>
      <c r="N743">
        <v>11.55</v>
      </c>
    </row>
    <row r="744" spans="1:14">
      <c r="A744" s="1" t="s">
        <v>756</v>
      </c>
      <c r="B744">
        <f>HYPERLINK("https://www.suredividend.com/sure-analysis-research-database/","Turtle Beach Corp")</f>
        <v>0</v>
      </c>
      <c r="C744" t="s">
        <v>1920</v>
      </c>
      <c r="D744">
        <v>8.59</v>
      </c>
      <c r="E744">
        <v>0</v>
      </c>
      <c r="F744" t="s">
        <v>1921</v>
      </c>
      <c r="G744" t="s">
        <v>1921</v>
      </c>
      <c r="H744">
        <v>0</v>
      </c>
      <c r="I744">
        <v>141.961716</v>
      </c>
      <c r="J744" t="s">
        <v>1921</v>
      </c>
      <c r="K744">
        <v>-0</v>
      </c>
      <c r="L744">
        <v>1.640513778612798</v>
      </c>
      <c r="M744">
        <v>25.33</v>
      </c>
      <c r="N744">
        <v>6.22</v>
      </c>
    </row>
    <row r="745" spans="1:14">
      <c r="A745" s="1" t="s">
        <v>757</v>
      </c>
      <c r="B745">
        <f>HYPERLINK("https://www.suredividend.com/sure-analysis-research-database/","H&amp;E Equipment Services Inc")</f>
        <v>0</v>
      </c>
      <c r="C745" t="s">
        <v>1924</v>
      </c>
      <c r="D745">
        <v>47.44</v>
      </c>
      <c r="E745">
        <v>0.023047302155969</v>
      </c>
      <c r="F745">
        <v>0</v>
      </c>
      <c r="G745">
        <v>0</v>
      </c>
      <c r="H745">
        <v>1.093364014279169</v>
      </c>
      <c r="I745">
        <v>1722.555414</v>
      </c>
      <c r="J745">
        <v>12.84492195311102</v>
      </c>
      <c r="K745">
        <v>0.297919349939828</v>
      </c>
      <c r="L745">
        <v>1.334283482828989</v>
      </c>
      <c r="M745">
        <v>48.74</v>
      </c>
      <c r="N745">
        <v>25.91</v>
      </c>
    </row>
    <row r="746" spans="1:14">
      <c r="A746" s="1" t="s">
        <v>758</v>
      </c>
      <c r="B746">
        <f>HYPERLINK("https://www.suredividend.com/sure-analysis-research-database/","Helen of Troy Ltd")</f>
        <v>0</v>
      </c>
      <c r="C746" t="s">
        <v>1928</v>
      </c>
      <c r="D746">
        <v>116.7</v>
      </c>
      <c r="E746">
        <v>0</v>
      </c>
      <c r="F746" t="s">
        <v>1921</v>
      </c>
      <c r="G746" t="s">
        <v>1921</v>
      </c>
      <c r="H746">
        <v>0</v>
      </c>
      <c r="I746">
        <v>2799.898843</v>
      </c>
      <c r="J746">
        <v>16.39822683432507</v>
      </c>
      <c r="K746">
        <v>0</v>
      </c>
      <c r="L746">
        <v>0.930122464439583</v>
      </c>
      <c r="M746">
        <v>235.09</v>
      </c>
      <c r="N746">
        <v>82.94</v>
      </c>
    </row>
    <row r="747" spans="1:14">
      <c r="A747" s="1" t="s">
        <v>759</v>
      </c>
      <c r="B747">
        <f>HYPERLINK("https://www.suredividend.com/sure-analysis-research-database/","HF Foods Group Inc.")</f>
        <v>0</v>
      </c>
      <c r="C747" t="s">
        <v>1928</v>
      </c>
      <c r="D747">
        <v>3.97</v>
      </c>
      <c r="E747">
        <v>0</v>
      </c>
      <c r="F747" t="s">
        <v>1921</v>
      </c>
      <c r="G747" t="s">
        <v>1921</v>
      </c>
      <c r="H747">
        <v>0</v>
      </c>
      <c r="I747">
        <v>206.096242</v>
      </c>
      <c r="J747">
        <v>0</v>
      </c>
      <c r="K747" t="s">
        <v>1921</v>
      </c>
      <c r="L747">
        <v>1.049325501939198</v>
      </c>
      <c r="M747">
        <v>9.33</v>
      </c>
      <c r="N747">
        <v>3.55</v>
      </c>
    </row>
    <row r="748" spans="1:14">
      <c r="A748" s="1" t="s">
        <v>760</v>
      </c>
      <c r="B748">
        <f>HYPERLINK("https://www.suredividend.com/sure-analysis-research-database/","Heritage Financial Corp.")</f>
        <v>0</v>
      </c>
      <c r="C748" t="s">
        <v>1923</v>
      </c>
      <c r="D748">
        <v>29.28</v>
      </c>
      <c r="E748">
        <v>0.028381266548186</v>
      </c>
      <c r="F748">
        <v>0</v>
      </c>
      <c r="G748">
        <v>0.06961037572506878</v>
      </c>
      <c r="H748">
        <v>0.831003484530891</v>
      </c>
      <c r="I748">
        <v>1027.852381</v>
      </c>
      <c r="J748">
        <v>13.05574105070623</v>
      </c>
      <c r="K748">
        <v>0.3743258939328338</v>
      </c>
      <c r="L748">
        <v>0.496450085304765</v>
      </c>
      <c r="M748">
        <v>34.34</v>
      </c>
      <c r="N748">
        <v>22.6</v>
      </c>
    </row>
    <row r="749" spans="1:14">
      <c r="A749" s="1" t="s">
        <v>761</v>
      </c>
      <c r="B749">
        <f>HYPERLINK("https://www.suredividend.com/sure-analysis-research-database/","Humanigen Inc")</f>
        <v>0</v>
      </c>
      <c r="C749" t="s">
        <v>1922</v>
      </c>
      <c r="D749">
        <v>0.1725</v>
      </c>
      <c r="E749">
        <v>0</v>
      </c>
      <c r="F749" t="s">
        <v>1921</v>
      </c>
      <c r="G749" t="s">
        <v>1921</v>
      </c>
      <c r="H749">
        <v>0</v>
      </c>
      <c r="I749">
        <v>17.881512</v>
      </c>
      <c r="J749">
        <v>0</v>
      </c>
      <c r="K749" t="s">
        <v>1921</v>
      </c>
      <c r="L749">
        <v>1.352698820333476</v>
      </c>
      <c r="M749">
        <v>4.11</v>
      </c>
      <c r="N749">
        <v>0.09240000000000001</v>
      </c>
    </row>
    <row r="750" spans="1:14">
      <c r="A750" s="1" t="s">
        <v>762</v>
      </c>
      <c r="B750">
        <f>HYPERLINK("https://www.suredividend.com/sure-analysis-research-database/","Hilton Grand Vacations Inc")</f>
        <v>0</v>
      </c>
      <c r="C750" t="s">
        <v>1927</v>
      </c>
      <c r="D750">
        <v>41.83</v>
      </c>
      <c r="E750">
        <v>0</v>
      </c>
      <c r="F750" t="s">
        <v>1921</v>
      </c>
      <c r="G750" t="s">
        <v>1921</v>
      </c>
      <c r="H750">
        <v>0</v>
      </c>
      <c r="I750">
        <v>4812.866477</v>
      </c>
      <c r="J750">
        <v>13.79044835893983</v>
      </c>
      <c r="K750">
        <v>0</v>
      </c>
      <c r="L750">
        <v>1.274433191260036</v>
      </c>
      <c r="M750">
        <v>54.76</v>
      </c>
      <c r="N750">
        <v>32.12</v>
      </c>
    </row>
    <row r="751" spans="1:14">
      <c r="A751" s="1" t="s">
        <v>763</v>
      </c>
      <c r="B751">
        <f>HYPERLINK("https://www.suredividend.com/sure-analysis-HI/","Hillenbrand Inc")</f>
        <v>0</v>
      </c>
      <c r="C751" t="s">
        <v>1924</v>
      </c>
      <c r="D751">
        <v>44.22</v>
      </c>
      <c r="E751">
        <v>0.01990049751243781</v>
      </c>
      <c r="F751">
        <v>0.01149425287356332</v>
      </c>
      <c r="G751">
        <v>0.01176794512623491</v>
      </c>
      <c r="H751">
        <v>0.8660312042655921</v>
      </c>
      <c r="I751">
        <v>3045.874086</v>
      </c>
      <c r="J751">
        <v>14.70726260946403</v>
      </c>
      <c r="K751">
        <v>0.3060180933800679</v>
      </c>
      <c r="L751">
        <v>1.020349229050532</v>
      </c>
      <c r="M751">
        <v>53.3</v>
      </c>
      <c r="N751">
        <v>35.85</v>
      </c>
    </row>
    <row r="752" spans="1:14">
      <c r="A752" s="1" t="s">
        <v>764</v>
      </c>
      <c r="B752">
        <f>HYPERLINK("https://www.suredividend.com/sure-analysis-research-database/","Hibbett Inc")</f>
        <v>0</v>
      </c>
      <c r="C752" t="s">
        <v>1927</v>
      </c>
      <c r="D752">
        <v>70.48999999999999</v>
      </c>
      <c r="E752">
        <v>0.014098286273102</v>
      </c>
      <c r="F752" t="s">
        <v>1921</v>
      </c>
      <c r="G752" t="s">
        <v>1921</v>
      </c>
      <c r="H752">
        <v>0.9937881993909811</v>
      </c>
      <c r="I752">
        <v>897.170286</v>
      </c>
      <c r="J752">
        <v>8.361949504622897</v>
      </c>
      <c r="K752">
        <v>0.1254783080039117</v>
      </c>
      <c r="L752">
        <v>1.506437908308624</v>
      </c>
      <c r="M752">
        <v>73.33</v>
      </c>
      <c r="N752">
        <v>39.07</v>
      </c>
    </row>
    <row r="753" spans="1:14">
      <c r="A753" s="1" t="s">
        <v>765</v>
      </c>
      <c r="B753">
        <f>HYPERLINK("https://www.suredividend.com/sure-analysis-research-database/","Hingham Institution For Savings")</f>
        <v>0</v>
      </c>
      <c r="C753" t="s">
        <v>1923</v>
      </c>
      <c r="D753">
        <v>285.99</v>
      </c>
      <c r="E753">
        <v>0.00836338980022</v>
      </c>
      <c r="F753">
        <v>0.1052631578947367</v>
      </c>
      <c r="G753">
        <v>0.106398021719422</v>
      </c>
      <c r="H753">
        <v>2.391845848965101</v>
      </c>
      <c r="I753">
        <v>602.29494</v>
      </c>
      <c r="J753">
        <v>0</v>
      </c>
      <c r="K753" t="s">
        <v>1921</v>
      </c>
      <c r="L753">
        <v>0.708760834744064</v>
      </c>
      <c r="M753">
        <v>417.01</v>
      </c>
      <c r="N753">
        <v>241.82</v>
      </c>
    </row>
    <row r="754" spans="1:14">
      <c r="A754" s="1" t="s">
        <v>766</v>
      </c>
      <c r="B754">
        <f>HYPERLINK("https://www.suredividend.com/sure-analysis-research-database/","Hecla Mining Co.")</f>
        <v>0</v>
      </c>
      <c r="C754" t="s">
        <v>1925</v>
      </c>
      <c r="D754">
        <v>6</v>
      </c>
      <c r="E754">
        <v>0.003743299328304</v>
      </c>
      <c r="F754">
        <v>-0.4</v>
      </c>
      <c r="G754">
        <v>0.08447177119769855</v>
      </c>
      <c r="H754">
        <v>0.022459795969826</v>
      </c>
      <c r="I754">
        <v>3637.623708</v>
      </c>
      <c r="J754" t="s">
        <v>1921</v>
      </c>
      <c r="K754" t="s">
        <v>1921</v>
      </c>
      <c r="L754">
        <v>1.207295968774749</v>
      </c>
      <c r="M754">
        <v>7.63</v>
      </c>
      <c r="N754">
        <v>3.41</v>
      </c>
    </row>
    <row r="755" spans="1:14">
      <c r="A755" s="1" t="s">
        <v>767</v>
      </c>
      <c r="B755">
        <f>HYPERLINK("https://www.suredividend.com/sure-analysis-HLI/","Houlihan Lokey Inc")</f>
        <v>0</v>
      </c>
      <c r="C755" t="s">
        <v>1923</v>
      </c>
      <c r="D755">
        <v>90.59</v>
      </c>
      <c r="E755">
        <v>0.0234021415167237</v>
      </c>
      <c r="F755">
        <v>0.2325581395348839</v>
      </c>
      <c r="G755">
        <v>0.2152039563333235</v>
      </c>
      <c r="H755">
        <v>2.002904301085123</v>
      </c>
      <c r="I755">
        <v>4515.986056</v>
      </c>
      <c r="J755">
        <v>12.19152868519518</v>
      </c>
      <c r="K755">
        <v>0.3709082039046524</v>
      </c>
      <c r="L755">
        <v>0.9144910828711771</v>
      </c>
      <c r="M755">
        <v>119.89</v>
      </c>
      <c r="N755">
        <v>73.33</v>
      </c>
    </row>
    <row r="756" spans="1:14">
      <c r="A756" s="1" t="s">
        <v>768</v>
      </c>
      <c r="B756">
        <f>HYPERLINK("https://www.suredividend.com/sure-analysis-research-database/","Helios Technologies Inc")</f>
        <v>0</v>
      </c>
      <c r="C756" t="s">
        <v>1924</v>
      </c>
      <c r="D756">
        <v>57.03</v>
      </c>
      <c r="E756">
        <v>0.006297017070361</v>
      </c>
      <c r="F756">
        <v>0</v>
      </c>
      <c r="G756">
        <v>0</v>
      </c>
      <c r="H756">
        <v>0.359118883522744</v>
      </c>
      <c r="I756">
        <v>1856.695826</v>
      </c>
      <c r="J756">
        <v>17.77643997702184</v>
      </c>
      <c r="K756">
        <v>0.1125764525149668</v>
      </c>
      <c r="L756">
        <v>1.061235410237882</v>
      </c>
      <c r="M756">
        <v>96.70999999999999</v>
      </c>
      <c r="N756">
        <v>48.11</v>
      </c>
    </row>
    <row r="757" spans="1:14">
      <c r="A757" s="1" t="s">
        <v>769</v>
      </c>
      <c r="B757">
        <f>HYPERLINK("https://www.suredividend.com/sure-analysis-research-database/","Harmonic, Inc.")</f>
        <v>0</v>
      </c>
      <c r="C757" t="s">
        <v>1920</v>
      </c>
      <c r="D757">
        <v>15.09</v>
      </c>
      <c r="E757">
        <v>0</v>
      </c>
      <c r="F757" t="s">
        <v>1921</v>
      </c>
      <c r="G757" t="s">
        <v>1921</v>
      </c>
      <c r="H757">
        <v>0</v>
      </c>
      <c r="I757">
        <v>1591.035472</v>
      </c>
      <c r="J757">
        <v>37.96495829364322</v>
      </c>
      <c r="K757">
        <v>0</v>
      </c>
      <c r="L757">
        <v>0.9621796499693941</v>
      </c>
      <c r="M757">
        <v>15.8</v>
      </c>
      <c r="N757">
        <v>8.25</v>
      </c>
    </row>
    <row r="758" spans="1:14">
      <c r="A758" s="1" t="s">
        <v>770</v>
      </c>
      <c r="B758">
        <f>HYPERLINK("https://www.suredividend.com/sure-analysis-research-database/","Hamilton Lane Inc")</f>
        <v>0</v>
      </c>
      <c r="C758" t="s">
        <v>1923</v>
      </c>
      <c r="D758">
        <v>66.89</v>
      </c>
      <c r="E758">
        <v>0.022982502224376</v>
      </c>
      <c r="F758">
        <v>0.1428571428571428</v>
      </c>
      <c r="G758">
        <v>0.1797891247127799</v>
      </c>
      <c r="H758">
        <v>1.537299573788575</v>
      </c>
      <c r="I758">
        <v>2532.862426</v>
      </c>
      <c r="J758">
        <v>18.71080103753444</v>
      </c>
      <c r="K758">
        <v>0.7084329833127074</v>
      </c>
      <c r="L758">
        <v>1.285528684983631</v>
      </c>
      <c r="M758">
        <v>99.48</v>
      </c>
      <c r="N758">
        <v>55.5</v>
      </c>
    </row>
    <row r="759" spans="1:14">
      <c r="A759" s="1" t="s">
        <v>771</v>
      </c>
      <c r="B759">
        <f>HYPERLINK("https://www.suredividend.com/sure-analysis-research-database/","Cue Health Inc")</f>
        <v>0</v>
      </c>
      <c r="C759" t="s">
        <v>1921</v>
      </c>
      <c r="D759">
        <v>2.12</v>
      </c>
      <c r="E759">
        <v>0</v>
      </c>
      <c r="F759" t="s">
        <v>1921</v>
      </c>
      <c r="G759" t="s">
        <v>1921</v>
      </c>
      <c r="H759">
        <v>0</v>
      </c>
      <c r="I759">
        <v>316.796764</v>
      </c>
      <c r="J759">
        <v>0</v>
      </c>
      <c r="K759" t="s">
        <v>1921</v>
      </c>
      <c r="L759">
        <v>1.400660845559592</v>
      </c>
      <c r="M759">
        <v>11.9</v>
      </c>
      <c r="N759">
        <v>1.63</v>
      </c>
    </row>
    <row r="760" spans="1:14">
      <c r="A760" s="1" t="s">
        <v>772</v>
      </c>
      <c r="B760">
        <f>HYPERLINK("https://www.suredividend.com/sure-analysis-research-database/","Helix Energy Solutions Group Inc")</f>
        <v>0</v>
      </c>
      <c r="C760" t="s">
        <v>1926</v>
      </c>
      <c r="D760">
        <v>7.45</v>
      </c>
      <c r="E760">
        <v>0</v>
      </c>
      <c r="F760" t="s">
        <v>1921</v>
      </c>
      <c r="G760" t="s">
        <v>1921</v>
      </c>
      <c r="H760">
        <v>0</v>
      </c>
      <c r="I760">
        <v>1131.067314</v>
      </c>
      <c r="J760" t="s">
        <v>1921</v>
      </c>
      <c r="K760">
        <v>-0</v>
      </c>
      <c r="L760">
        <v>0.8480273788877101</v>
      </c>
      <c r="M760">
        <v>7.62</v>
      </c>
      <c r="N760">
        <v>2.47</v>
      </c>
    </row>
    <row r="761" spans="1:14">
      <c r="A761" s="1" t="s">
        <v>773</v>
      </c>
      <c r="B761">
        <f>HYPERLINK("https://www.suredividend.com/sure-analysis-research-database/","Horace Mann Educators Corp.")</f>
        <v>0</v>
      </c>
      <c r="C761" t="s">
        <v>1923</v>
      </c>
      <c r="D761">
        <v>37.19</v>
      </c>
      <c r="E761">
        <v>0.03396870529357</v>
      </c>
      <c r="F761">
        <v>0.032258064516129</v>
      </c>
      <c r="G761">
        <v>0.0234367875071011</v>
      </c>
      <c r="H761">
        <v>1.263296149867886</v>
      </c>
      <c r="I761">
        <v>1521.007591</v>
      </c>
      <c r="J761">
        <v>26.96821969946808</v>
      </c>
      <c r="K761">
        <v>0.9427583207969299</v>
      </c>
      <c r="L761">
        <v>0.426251561397783</v>
      </c>
      <c r="M761">
        <v>41.51</v>
      </c>
      <c r="N761">
        <v>32.03</v>
      </c>
    </row>
    <row r="762" spans="1:14">
      <c r="A762" s="1" t="s">
        <v>774</v>
      </c>
      <c r="B762">
        <f>HYPERLINK("https://www.suredividend.com/sure-analysis-research-database/","Home Point Capital Inc")</f>
        <v>0</v>
      </c>
      <c r="C762" t="s">
        <v>1921</v>
      </c>
      <c r="D762">
        <v>1.69</v>
      </c>
      <c r="E762">
        <v>0.047079978335352</v>
      </c>
      <c r="F762" t="s">
        <v>1921</v>
      </c>
      <c r="G762" t="s">
        <v>1921</v>
      </c>
      <c r="H762">
        <v>0.07956516338674501</v>
      </c>
      <c r="I762">
        <v>233.865169</v>
      </c>
      <c r="J762">
        <v>0</v>
      </c>
      <c r="K762" t="s">
        <v>1921</v>
      </c>
      <c r="L762">
        <v>0.8555918928524611</v>
      </c>
      <c r="M762">
        <v>4.92</v>
      </c>
      <c r="N762">
        <v>0.99</v>
      </c>
    </row>
    <row r="763" spans="1:14">
      <c r="A763" s="1" t="s">
        <v>775</v>
      </c>
      <c r="B763">
        <f>HYPERLINK("https://www.suredividend.com/sure-analysis-research-database/","HomeStreet Inc")</f>
        <v>0</v>
      </c>
      <c r="C763" t="s">
        <v>1923</v>
      </c>
      <c r="D763">
        <v>27.8</v>
      </c>
      <c r="E763">
        <v>0.04948735996259401</v>
      </c>
      <c r="F763" t="s">
        <v>1921</v>
      </c>
      <c r="G763" t="s">
        <v>1921</v>
      </c>
      <c r="H763">
        <v>1.375748606960118</v>
      </c>
      <c r="I763">
        <v>520.489392</v>
      </c>
      <c r="J763">
        <v>5.950422334259354</v>
      </c>
      <c r="K763">
        <v>0.3064028077862178</v>
      </c>
      <c r="L763">
        <v>0.837616797431865</v>
      </c>
      <c r="M763">
        <v>55.16</v>
      </c>
      <c r="N763">
        <v>22.13</v>
      </c>
    </row>
    <row r="764" spans="1:14">
      <c r="A764" s="1" t="s">
        <v>776</v>
      </c>
      <c r="B764">
        <f>HYPERLINK("https://www.suredividend.com/sure-analysis-research-database/","Hemisphere Media Group Inc")</f>
        <v>0</v>
      </c>
      <c r="C764" t="s">
        <v>1931</v>
      </c>
      <c r="D764">
        <v>7.15</v>
      </c>
      <c r="E764">
        <v>0</v>
      </c>
      <c r="F764" t="s">
        <v>1921</v>
      </c>
      <c r="G764" t="s">
        <v>1921</v>
      </c>
      <c r="H764">
        <v>0</v>
      </c>
      <c r="I764">
        <v>0</v>
      </c>
      <c r="J764">
        <v>0</v>
      </c>
      <c r="K764" t="s">
        <v>1921</v>
      </c>
    </row>
    <row r="765" spans="1:14">
      <c r="A765" s="1" t="s">
        <v>777</v>
      </c>
      <c r="B765">
        <f>HYPERLINK("https://www.suredividend.com/sure-analysis-research-database/","Hanger Inc")</f>
        <v>0</v>
      </c>
      <c r="C765" t="s">
        <v>1922</v>
      </c>
      <c r="D765">
        <v>18.72</v>
      </c>
      <c r="E765">
        <v>0</v>
      </c>
      <c r="F765" t="s">
        <v>1921</v>
      </c>
      <c r="G765" t="s">
        <v>1921</v>
      </c>
      <c r="H765">
        <v>0</v>
      </c>
      <c r="I765">
        <v>732.3875399999999</v>
      </c>
      <c r="J765">
        <v>19.63874023328775</v>
      </c>
      <c r="K765">
        <v>0</v>
      </c>
      <c r="L765">
        <v>0.596951536256076</v>
      </c>
      <c r="M765">
        <v>22.67</v>
      </c>
      <c r="N765">
        <v>13.42</v>
      </c>
    </row>
    <row r="766" spans="1:14">
      <c r="A766" s="1" t="s">
        <v>778</v>
      </c>
      <c r="B766">
        <f>HYPERLINK("https://www.suredividend.com/sure-analysis-HNI/","HNI Corp.")</f>
        <v>0</v>
      </c>
      <c r="C766" t="s">
        <v>1924</v>
      </c>
      <c r="D766">
        <v>29.72</v>
      </c>
      <c r="E766">
        <v>0.04306864064602961</v>
      </c>
      <c r="F766">
        <v>0.032258064516129</v>
      </c>
      <c r="G766">
        <v>0.0234367875071011</v>
      </c>
      <c r="H766">
        <v>1.251330234291562</v>
      </c>
      <c r="I766">
        <v>1229.331393</v>
      </c>
      <c r="J766">
        <v>10.61589617533527</v>
      </c>
      <c r="K766">
        <v>0.4617454739083255</v>
      </c>
      <c r="L766">
        <v>0.9181767899583121</v>
      </c>
      <c r="M766">
        <v>42.91</v>
      </c>
      <c r="N766">
        <v>26.22</v>
      </c>
    </row>
    <row r="767" spans="1:14">
      <c r="A767" s="1" t="s">
        <v>779</v>
      </c>
      <c r="B767">
        <f>HYPERLINK("https://www.suredividend.com/sure-analysis-research-database/","Honest Company Inc (The )")</f>
        <v>0</v>
      </c>
      <c r="C767" t="s">
        <v>1921</v>
      </c>
      <c r="D767">
        <v>2.97</v>
      </c>
      <c r="E767">
        <v>0</v>
      </c>
      <c r="F767" t="s">
        <v>1921</v>
      </c>
      <c r="G767" t="s">
        <v>1921</v>
      </c>
      <c r="H767">
        <v>0</v>
      </c>
      <c r="I767">
        <v>275.238492</v>
      </c>
      <c r="J767" t="s">
        <v>1921</v>
      </c>
      <c r="K767">
        <v>-0</v>
      </c>
      <c r="L767">
        <v>1.719131408215519</v>
      </c>
      <c r="M767">
        <v>7.53</v>
      </c>
      <c r="N767">
        <v>2.54</v>
      </c>
    </row>
    <row r="768" spans="1:14">
      <c r="A768" s="1" t="s">
        <v>780</v>
      </c>
      <c r="B768">
        <f>HYPERLINK("https://www.suredividend.com/sure-analysis-research-database/","Hooker Furnishings Corporation")</f>
        <v>0</v>
      </c>
      <c r="C768" t="s">
        <v>1927</v>
      </c>
      <c r="D768">
        <v>19.63</v>
      </c>
      <c r="E768">
        <v>0.040993514836198</v>
      </c>
      <c r="F768">
        <v>0.09999999999999987</v>
      </c>
      <c r="G768">
        <v>0.09460878422315755</v>
      </c>
      <c r="H768">
        <v>0.804702696234577</v>
      </c>
      <c r="I768">
        <v>222.44396</v>
      </c>
      <c r="J768">
        <v>23.68440803982113</v>
      </c>
      <c r="K768">
        <v>1.016552168057828</v>
      </c>
      <c r="L768">
        <v>0.662827817499216</v>
      </c>
      <c r="M768">
        <v>22.57</v>
      </c>
      <c r="N768">
        <v>12.74</v>
      </c>
    </row>
    <row r="769" spans="1:14">
      <c r="A769" s="1" t="s">
        <v>781</v>
      </c>
      <c r="B769">
        <f>HYPERLINK("https://www.suredividend.com/sure-analysis-research-database/","Hall of Fame Resort &amp; Entertainment Company")</f>
        <v>0</v>
      </c>
      <c r="C769" t="s">
        <v>1921</v>
      </c>
      <c r="D769">
        <v>11.78</v>
      </c>
      <c r="E769">
        <v>0</v>
      </c>
      <c r="F769" t="s">
        <v>1921</v>
      </c>
      <c r="G769" t="s">
        <v>1921</v>
      </c>
      <c r="H769">
        <v>0</v>
      </c>
      <c r="I769">
        <v>1385.669655</v>
      </c>
      <c r="J769">
        <v>0</v>
      </c>
      <c r="K769" t="s">
        <v>1921</v>
      </c>
      <c r="L769">
        <v>1.657100349763232</v>
      </c>
      <c r="M769">
        <v>36.19</v>
      </c>
      <c r="N769">
        <v>7.36</v>
      </c>
    </row>
    <row r="770" spans="1:14">
      <c r="A770" s="1" t="s">
        <v>782</v>
      </c>
      <c r="B770">
        <f>HYPERLINK("https://www.suredividend.com/sure-analysis-research-database/","Home Bancshares Inc")</f>
        <v>0</v>
      </c>
      <c r="C770" t="s">
        <v>1923</v>
      </c>
      <c r="D770">
        <v>22.48</v>
      </c>
      <c r="E770">
        <v>0.029064479954302</v>
      </c>
      <c r="F770">
        <v>0.1785714285714286</v>
      </c>
      <c r="G770">
        <v>0.08447177119769855</v>
      </c>
      <c r="H770">
        <v>0.6533695093727251</v>
      </c>
      <c r="I770">
        <v>4585.273475</v>
      </c>
      <c r="J770">
        <v>17.43900885095766</v>
      </c>
      <c r="K770">
        <v>0.4601193727976938</v>
      </c>
      <c r="L770">
        <v>0.832626497894385</v>
      </c>
      <c r="M770">
        <v>26.07</v>
      </c>
      <c r="N770">
        <v>19.42</v>
      </c>
    </row>
    <row r="771" spans="1:14">
      <c r="A771" s="1" t="s">
        <v>783</v>
      </c>
      <c r="B771">
        <f>HYPERLINK("https://www.suredividend.com/sure-analysis-research-database/","HarborOne Bancorp Inc.")</f>
        <v>0</v>
      </c>
      <c r="C771" t="s">
        <v>1923</v>
      </c>
      <c r="D771">
        <v>13.94</v>
      </c>
      <c r="E771">
        <v>0.01993546101511</v>
      </c>
      <c r="F771" t="s">
        <v>1921</v>
      </c>
      <c r="G771" t="s">
        <v>1921</v>
      </c>
      <c r="H771">
        <v>0.277900326550637</v>
      </c>
      <c r="I771">
        <v>685.68762</v>
      </c>
      <c r="J771">
        <v>14.10821818649438</v>
      </c>
      <c r="K771">
        <v>0.2751488381689475</v>
      </c>
      <c r="L771">
        <v>0.5020730277488751</v>
      </c>
      <c r="M771">
        <v>15.49</v>
      </c>
      <c r="N771">
        <v>12.76</v>
      </c>
    </row>
    <row r="772" spans="1:14">
      <c r="A772" s="1" t="s">
        <v>784</v>
      </c>
      <c r="B772">
        <f>HYPERLINK("https://www.suredividend.com/sure-analysis-research-database/","Hookipa Pharma Inc")</f>
        <v>0</v>
      </c>
      <c r="C772" t="s">
        <v>1922</v>
      </c>
      <c r="D772">
        <v>0.89</v>
      </c>
      <c r="E772">
        <v>0</v>
      </c>
      <c r="F772" t="s">
        <v>1921</v>
      </c>
      <c r="G772" t="s">
        <v>1921</v>
      </c>
      <c r="H772">
        <v>0</v>
      </c>
      <c r="I772">
        <v>45.972532</v>
      </c>
      <c r="J772">
        <v>0</v>
      </c>
      <c r="K772" t="s">
        <v>1921</v>
      </c>
      <c r="L772">
        <v>1.213607281435288</v>
      </c>
      <c r="M772">
        <v>3.05</v>
      </c>
      <c r="N772">
        <v>0.72</v>
      </c>
    </row>
    <row r="773" spans="1:14">
      <c r="A773" s="1" t="s">
        <v>785</v>
      </c>
      <c r="B773">
        <f>HYPERLINK("https://www.suredividend.com/sure-analysis-research-database/","Hope Bancorp Inc")</f>
        <v>0</v>
      </c>
      <c r="C773" t="s">
        <v>1923</v>
      </c>
      <c r="D773">
        <v>12.56</v>
      </c>
      <c r="E773">
        <v>0.04392764091977101</v>
      </c>
      <c r="F773" t="s">
        <v>1921</v>
      </c>
      <c r="G773" t="s">
        <v>1921</v>
      </c>
      <c r="H773">
        <v>0.5517311699523311</v>
      </c>
      <c r="I773">
        <v>1500.691006</v>
      </c>
      <c r="J773">
        <v>6.877688538705848</v>
      </c>
      <c r="K773">
        <v>0.3048238508023928</v>
      </c>
      <c r="L773">
        <v>0.682428672365692</v>
      </c>
      <c r="M773">
        <v>17.03</v>
      </c>
      <c r="N773">
        <v>12.35</v>
      </c>
    </row>
    <row r="774" spans="1:14">
      <c r="A774" s="1" t="s">
        <v>786</v>
      </c>
      <c r="B774">
        <f>HYPERLINK("https://www.suredividend.com/sure-analysis-research-database/","Hovnanian Enterprises, Inc.")</f>
        <v>0</v>
      </c>
      <c r="C774" t="s">
        <v>1927</v>
      </c>
      <c r="D774">
        <v>44.23</v>
      </c>
      <c r="E774">
        <v>0</v>
      </c>
      <c r="F774" t="s">
        <v>1921</v>
      </c>
      <c r="G774" t="s">
        <v>1921</v>
      </c>
      <c r="H774">
        <v>0</v>
      </c>
      <c r="I774">
        <v>232.583765</v>
      </c>
      <c r="J774">
        <v>1.192046478758463</v>
      </c>
      <c r="K774">
        <v>0</v>
      </c>
      <c r="L774">
        <v>1.939779659030325</v>
      </c>
      <c r="M774">
        <v>126.38</v>
      </c>
      <c r="N774">
        <v>33.2</v>
      </c>
    </row>
    <row r="775" spans="1:14">
      <c r="A775" s="1" t="s">
        <v>787</v>
      </c>
      <c r="B775">
        <f>HYPERLINK("https://www.suredividend.com/sure-analysis-research-database/","Werewolf Therapeutics Inc")</f>
        <v>0</v>
      </c>
      <c r="C775" t="s">
        <v>1921</v>
      </c>
      <c r="D775">
        <v>2.08</v>
      </c>
      <c r="E775">
        <v>0</v>
      </c>
      <c r="F775" t="s">
        <v>1921</v>
      </c>
      <c r="G775" t="s">
        <v>1921</v>
      </c>
      <c r="H775">
        <v>0</v>
      </c>
      <c r="I775">
        <v>63.948868</v>
      </c>
      <c r="J775">
        <v>0</v>
      </c>
      <c r="K775" t="s">
        <v>1921</v>
      </c>
      <c r="L775">
        <v>1.227451196014893</v>
      </c>
      <c r="M775">
        <v>10.5</v>
      </c>
      <c r="N775">
        <v>1.39</v>
      </c>
    </row>
    <row r="776" spans="1:14">
      <c r="A776" s="1" t="s">
        <v>788</v>
      </c>
      <c r="B776">
        <f>HYPERLINK("https://www.suredividend.com/sure-analysis-HP/","Helmerich &amp; Payne, Inc.")</f>
        <v>0</v>
      </c>
      <c r="C776" t="s">
        <v>1926</v>
      </c>
      <c r="D776">
        <v>47.39</v>
      </c>
      <c r="E776">
        <v>0.02110149820637265</v>
      </c>
      <c r="F776">
        <v>-0.05999999999999994</v>
      </c>
      <c r="G776">
        <v>-0.1961149271039875</v>
      </c>
      <c r="H776">
        <v>1.227057260733579</v>
      </c>
      <c r="I776">
        <v>4994.635782</v>
      </c>
      <c r="J776" t="s">
        <v>1921</v>
      </c>
      <c r="K776" t="s">
        <v>1921</v>
      </c>
      <c r="L776">
        <v>1.02728677207275</v>
      </c>
      <c r="M776">
        <v>54.45</v>
      </c>
      <c r="N776">
        <v>24.95</v>
      </c>
    </row>
    <row r="777" spans="1:14">
      <c r="A777" s="1" t="s">
        <v>789</v>
      </c>
      <c r="B777">
        <f>HYPERLINK("https://www.suredividend.com/sure-analysis-research-database/","HighPeak Energy Inc")</f>
        <v>0</v>
      </c>
      <c r="C777" t="s">
        <v>1921</v>
      </c>
      <c r="D777">
        <v>24.22</v>
      </c>
      <c r="E777">
        <v>0.004122417280368</v>
      </c>
      <c r="F777" t="s">
        <v>1921</v>
      </c>
      <c r="G777" t="s">
        <v>1921</v>
      </c>
      <c r="H777">
        <v>0.09984494653051301</v>
      </c>
      <c r="I777">
        <v>2740.736823</v>
      </c>
      <c r="J777">
        <v>0</v>
      </c>
      <c r="K777" t="s">
        <v>1921</v>
      </c>
      <c r="L777">
        <v>0.8781816140381131</v>
      </c>
      <c r="M777">
        <v>38.1</v>
      </c>
      <c r="N777">
        <v>15.97</v>
      </c>
    </row>
    <row r="778" spans="1:14">
      <c r="A778" s="1" t="s">
        <v>790</v>
      </c>
      <c r="B778">
        <f>HYPERLINK("https://www.suredividend.com/sure-analysis-research-database/","HireQuest Inc")</f>
        <v>0</v>
      </c>
      <c r="C778" t="s">
        <v>1924</v>
      </c>
      <c r="D778">
        <v>17.63</v>
      </c>
      <c r="E778">
        <v>0.013533516861703</v>
      </c>
      <c r="F778" t="s">
        <v>1921</v>
      </c>
      <c r="G778" t="s">
        <v>1921</v>
      </c>
      <c r="H778">
        <v>0.238595902271835</v>
      </c>
      <c r="I778">
        <v>244.663022</v>
      </c>
      <c r="J778">
        <v>0</v>
      </c>
      <c r="K778" t="s">
        <v>1921</v>
      </c>
      <c r="L778">
        <v>0.548734494850271</v>
      </c>
      <c r="M778">
        <v>20.19</v>
      </c>
      <c r="N778">
        <v>11.71</v>
      </c>
    </row>
    <row r="779" spans="1:14">
      <c r="A779" s="1" t="s">
        <v>791</v>
      </c>
      <c r="B779">
        <f>HYPERLINK("https://www.suredividend.com/sure-analysis-research-database/","Healthequity Inc")</f>
        <v>0</v>
      </c>
      <c r="C779" t="s">
        <v>1922</v>
      </c>
      <c r="D779">
        <v>57.93</v>
      </c>
      <c r="E779">
        <v>0</v>
      </c>
      <c r="F779" t="s">
        <v>1921</v>
      </c>
      <c r="G779" t="s">
        <v>1921</v>
      </c>
      <c r="H779">
        <v>0</v>
      </c>
      <c r="I779">
        <v>4903.185294</v>
      </c>
      <c r="J779" t="s">
        <v>1921</v>
      </c>
      <c r="K779">
        <v>-0</v>
      </c>
      <c r="L779">
        <v>0.3836887959877741</v>
      </c>
      <c r="M779">
        <v>79.2</v>
      </c>
      <c r="N779">
        <v>47.77</v>
      </c>
    </row>
    <row r="780" spans="1:14">
      <c r="A780" s="1" t="s">
        <v>792</v>
      </c>
      <c r="B780">
        <f>HYPERLINK("https://www.suredividend.com/sure-analysis-HR/","Healthcare Realty Trust Inc")</f>
        <v>0</v>
      </c>
      <c r="C780" t="s">
        <v>1929</v>
      </c>
      <c r="D780">
        <v>20.77</v>
      </c>
      <c r="E780">
        <v>0.05970149253731343</v>
      </c>
      <c r="F780">
        <v>0</v>
      </c>
      <c r="G780">
        <v>0.006579515097667965</v>
      </c>
      <c r="H780">
        <v>0.959456554725687</v>
      </c>
      <c r="I780">
        <v>7904.486463</v>
      </c>
      <c r="J780">
        <v>114.4715064487632</v>
      </c>
      <c r="K780">
        <v>3.280193349489528</v>
      </c>
      <c r="L780">
        <v>0.640750891684715</v>
      </c>
      <c r="M780">
        <v>27.35</v>
      </c>
      <c r="N780">
        <v>18.12</v>
      </c>
    </row>
    <row r="781" spans="1:14">
      <c r="A781" s="1" t="s">
        <v>793</v>
      </c>
      <c r="B781">
        <f>HYPERLINK("https://www.suredividend.com/sure-analysis-research-database/","Herc Holdings Inc")</f>
        <v>0</v>
      </c>
      <c r="C781" t="s">
        <v>1924</v>
      </c>
      <c r="D781">
        <v>140.44</v>
      </c>
      <c r="E781">
        <v>0.016265038194988</v>
      </c>
      <c r="F781" t="s">
        <v>1921</v>
      </c>
      <c r="G781" t="s">
        <v>1921</v>
      </c>
      <c r="H781">
        <v>2.284261964104166</v>
      </c>
      <c r="I781">
        <v>4109.021046</v>
      </c>
      <c r="J781">
        <v>13.52096428509378</v>
      </c>
      <c r="K781">
        <v>0.2281979984120046</v>
      </c>
      <c r="L781">
        <v>1.535017493150147</v>
      </c>
      <c r="M781">
        <v>172.53</v>
      </c>
      <c r="N781">
        <v>82.69</v>
      </c>
    </row>
    <row r="782" spans="1:14">
      <c r="A782" s="1" t="s">
        <v>794</v>
      </c>
      <c r="B782">
        <f>HYPERLINK("https://www.suredividend.com/sure-analysis-research-database/","Harmony Biosciences Holdings Inc")</f>
        <v>0</v>
      </c>
      <c r="C782" t="s">
        <v>1921</v>
      </c>
      <c r="D782">
        <v>45.02</v>
      </c>
      <c r="E782">
        <v>0</v>
      </c>
      <c r="F782" t="s">
        <v>1921</v>
      </c>
      <c r="G782" t="s">
        <v>1921</v>
      </c>
      <c r="H782">
        <v>0</v>
      </c>
      <c r="I782">
        <v>2670.476281</v>
      </c>
      <c r="J782">
        <v>0</v>
      </c>
      <c r="K782" t="s">
        <v>1921</v>
      </c>
      <c r="L782">
        <v>0.776677826901215</v>
      </c>
      <c r="M782">
        <v>62.09</v>
      </c>
      <c r="N782">
        <v>31.54</v>
      </c>
    </row>
    <row r="783" spans="1:14">
      <c r="A783" s="1" t="s">
        <v>795</v>
      </c>
      <c r="B783">
        <f>HYPERLINK("https://www.suredividend.com/sure-analysis-research-database/","HireRight Holdings Corp")</f>
        <v>0</v>
      </c>
      <c r="C783" t="s">
        <v>1921</v>
      </c>
      <c r="D783">
        <v>11.83</v>
      </c>
      <c r="E783">
        <v>0</v>
      </c>
      <c r="F783" t="s">
        <v>1921</v>
      </c>
      <c r="G783" t="s">
        <v>1921</v>
      </c>
      <c r="H783">
        <v>0</v>
      </c>
      <c r="I783">
        <v>940.30645</v>
      </c>
      <c r="J783">
        <v>0</v>
      </c>
      <c r="K783" t="s">
        <v>1921</v>
      </c>
      <c r="L783">
        <v>1.236691563051541</v>
      </c>
      <c r="M783">
        <v>18.95</v>
      </c>
      <c r="N783">
        <v>6.88</v>
      </c>
    </row>
    <row r="784" spans="1:14">
      <c r="A784" s="1" t="s">
        <v>796</v>
      </c>
      <c r="B784">
        <f>HYPERLINK("https://www.suredividend.com/sure-analysis-research-database/","Heritage Insurance Holdings Inc.")</f>
        <v>0</v>
      </c>
      <c r="C784" t="s">
        <v>1923</v>
      </c>
      <c r="D784">
        <v>1.98</v>
      </c>
      <c r="E784">
        <v>0.06010236157147</v>
      </c>
      <c r="F784" t="s">
        <v>1921</v>
      </c>
      <c r="G784" t="s">
        <v>1921</v>
      </c>
      <c r="H784">
        <v>0.119002675911511</v>
      </c>
      <c r="I784">
        <v>51.235252</v>
      </c>
      <c r="J784">
        <v>0</v>
      </c>
      <c r="K784" t="s">
        <v>1921</v>
      </c>
      <c r="L784">
        <v>0.714377452797734</v>
      </c>
      <c r="M784">
        <v>7.25</v>
      </c>
      <c r="N784">
        <v>1.12</v>
      </c>
    </row>
    <row r="785" spans="1:14">
      <c r="A785" s="1" t="s">
        <v>797</v>
      </c>
      <c r="B785">
        <f>HYPERLINK("https://www.suredividend.com/sure-analysis-research-database/","Heron Therapeutics Inc")</f>
        <v>0</v>
      </c>
      <c r="C785" t="s">
        <v>1922</v>
      </c>
      <c r="D785">
        <v>2.58</v>
      </c>
      <c r="E785">
        <v>0</v>
      </c>
      <c r="F785" t="s">
        <v>1921</v>
      </c>
      <c r="G785" t="s">
        <v>1921</v>
      </c>
      <c r="H785">
        <v>0</v>
      </c>
      <c r="I785">
        <v>306.731355</v>
      </c>
      <c r="J785">
        <v>0</v>
      </c>
      <c r="K785" t="s">
        <v>1921</v>
      </c>
      <c r="L785">
        <v>1.968458196409571</v>
      </c>
      <c r="M785">
        <v>9.449999999999999</v>
      </c>
      <c r="N785">
        <v>2.19</v>
      </c>
    </row>
    <row r="786" spans="1:14">
      <c r="A786" s="1" t="s">
        <v>798</v>
      </c>
      <c r="B786">
        <f>HYPERLINK("https://www.suredividend.com/sure-analysis-research-database/","Harsco Corp.")</f>
        <v>0</v>
      </c>
      <c r="C786" t="s">
        <v>1924</v>
      </c>
      <c r="D786">
        <v>7.04</v>
      </c>
      <c r="E786">
        <v>0</v>
      </c>
      <c r="F786" t="s">
        <v>1921</v>
      </c>
      <c r="G786" t="s">
        <v>1921</v>
      </c>
      <c r="H786">
        <v>0</v>
      </c>
      <c r="I786">
        <v>559.501402</v>
      </c>
      <c r="J786" t="s">
        <v>1921</v>
      </c>
      <c r="K786">
        <v>-0</v>
      </c>
      <c r="L786">
        <v>1.227646582040159</v>
      </c>
      <c r="M786">
        <v>17.41</v>
      </c>
      <c r="N786">
        <v>3.73</v>
      </c>
    </row>
    <row r="787" spans="1:14">
      <c r="A787" s="1" t="s">
        <v>799</v>
      </c>
      <c r="B787">
        <f>HYPERLINK("https://www.suredividend.com/sure-analysis-research-database/","Heidrick &amp; Struggles International, Inc.")</f>
        <v>0</v>
      </c>
      <c r="C787" t="s">
        <v>1924</v>
      </c>
      <c r="D787">
        <v>27.64</v>
      </c>
      <c r="E787">
        <v>0.021543356386718</v>
      </c>
      <c r="F787">
        <v>0</v>
      </c>
      <c r="G787">
        <v>0.02903366107118788</v>
      </c>
      <c r="H787">
        <v>0.5954583705288971</v>
      </c>
      <c r="I787">
        <v>548.947758</v>
      </c>
      <c r="J787">
        <v>7.23070322211831</v>
      </c>
      <c r="K787">
        <v>0.160500908498355</v>
      </c>
      <c r="L787">
        <v>0.9423762858708391</v>
      </c>
      <c r="M787">
        <v>45.16</v>
      </c>
      <c r="N787">
        <v>22.67</v>
      </c>
    </row>
    <row r="788" spans="1:14">
      <c r="A788" s="1" t="s">
        <v>800</v>
      </c>
      <c r="B788">
        <f>HYPERLINK("https://www.suredividend.com/sure-analysis-research-database/","Heska Corp.")</f>
        <v>0</v>
      </c>
      <c r="C788" t="s">
        <v>1922</v>
      </c>
      <c r="D788">
        <v>67.31</v>
      </c>
      <c r="E788">
        <v>0</v>
      </c>
      <c r="F788" t="s">
        <v>1921</v>
      </c>
      <c r="G788" t="s">
        <v>1921</v>
      </c>
      <c r="H788">
        <v>0</v>
      </c>
      <c r="I788">
        <v>728.670194</v>
      </c>
      <c r="J788" t="s">
        <v>1921</v>
      </c>
      <c r="K788">
        <v>-0</v>
      </c>
      <c r="L788">
        <v>1.102774904480113</v>
      </c>
      <c r="M788">
        <v>164.57</v>
      </c>
      <c r="N788">
        <v>57.83</v>
      </c>
    </row>
    <row r="789" spans="1:14">
      <c r="A789" s="1" t="s">
        <v>801</v>
      </c>
      <c r="B789">
        <f>HYPERLINK("https://www.suredividend.com/sure-analysis-research-database/","Healthstream Inc")</f>
        <v>0</v>
      </c>
      <c r="C789" t="s">
        <v>1922</v>
      </c>
      <c r="D789">
        <v>23.59</v>
      </c>
      <c r="E789">
        <v>0</v>
      </c>
      <c r="F789" t="s">
        <v>1921</v>
      </c>
      <c r="G789" t="s">
        <v>1921</v>
      </c>
      <c r="H789">
        <v>0</v>
      </c>
      <c r="I789">
        <v>721.218627</v>
      </c>
      <c r="J789">
        <v>77.92745834035657</v>
      </c>
      <c r="K789">
        <v>0</v>
      </c>
      <c r="L789">
        <v>0.5556013400192551</v>
      </c>
      <c r="M789">
        <v>26.62</v>
      </c>
      <c r="N789">
        <v>18.51</v>
      </c>
    </row>
    <row r="790" spans="1:14">
      <c r="A790" s="1" t="s">
        <v>802</v>
      </c>
      <c r="B790">
        <f>HYPERLINK("https://www.suredividend.com/sure-analysis-research-database/","Hersha Hospitality Trust")</f>
        <v>0</v>
      </c>
      <c r="C790" t="s">
        <v>1929</v>
      </c>
      <c r="D790">
        <v>8.07</v>
      </c>
      <c r="E790">
        <v>0.018227974132704</v>
      </c>
      <c r="F790" t="s">
        <v>1921</v>
      </c>
      <c r="G790" t="s">
        <v>1921</v>
      </c>
      <c r="H790">
        <v>0.147099751250928</v>
      </c>
      <c r="I790">
        <v>319.95614</v>
      </c>
      <c r="J790">
        <v>4.200222380671078</v>
      </c>
      <c r="K790">
        <v>0.07661445377652501</v>
      </c>
      <c r="L790">
        <v>1.389329683951436</v>
      </c>
      <c r="M790">
        <v>11.38</v>
      </c>
      <c r="N790">
        <v>7.03</v>
      </c>
    </row>
    <row r="791" spans="1:14">
      <c r="A791" s="1" t="s">
        <v>803</v>
      </c>
      <c r="B791">
        <f>HYPERLINK("https://www.suredividend.com/sure-analysis-research-database/","HomeTrust Bancshares Inc")</f>
        <v>0</v>
      </c>
      <c r="C791" t="s">
        <v>1923</v>
      </c>
      <c r="D791">
        <v>23.92</v>
      </c>
      <c r="E791">
        <v>0.015383241752697</v>
      </c>
      <c r="F791" t="s">
        <v>1921</v>
      </c>
      <c r="G791" t="s">
        <v>1921</v>
      </c>
      <c r="H791">
        <v>0.367967142724519</v>
      </c>
      <c r="I791">
        <v>373.822908</v>
      </c>
      <c r="J791">
        <v>0</v>
      </c>
      <c r="K791" t="s">
        <v>1921</v>
      </c>
      <c r="L791">
        <v>0.451722416767413</v>
      </c>
      <c r="M791">
        <v>32.15</v>
      </c>
      <c r="N791">
        <v>21.46</v>
      </c>
    </row>
    <row r="792" spans="1:14">
      <c r="A792" s="1" t="s">
        <v>804</v>
      </c>
      <c r="B792">
        <f>HYPERLINK("https://www.suredividend.com/sure-analysis-research-database/","Heritage Commerce Corp.")</f>
        <v>0</v>
      </c>
      <c r="C792" t="s">
        <v>1923</v>
      </c>
      <c r="D792">
        <v>12.93</v>
      </c>
      <c r="E792">
        <v>0.039610181320781</v>
      </c>
      <c r="F792">
        <v>0</v>
      </c>
      <c r="G792">
        <v>0.03397522653195018</v>
      </c>
      <c r="H792">
        <v>0.512159644477705</v>
      </c>
      <c r="I792">
        <v>785.096592</v>
      </c>
      <c r="J792">
        <v>13.14607244386397</v>
      </c>
      <c r="K792">
        <v>0.5228786569450791</v>
      </c>
      <c r="L792">
        <v>0.62146673014953</v>
      </c>
      <c r="M792">
        <v>14.87</v>
      </c>
      <c r="N792">
        <v>10.21</v>
      </c>
    </row>
    <row r="793" spans="1:14">
      <c r="A793" s="1" t="s">
        <v>805</v>
      </c>
      <c r="B793">
        <f>HYPERLINK("https://www.suredividend.com/sure-analysis-research-database/","Hilltop Holdings Inc")</f>
        <v>0</v>
      </c>
      <c r="C793" t="s">
        <v>1923</v>
      </c>
      <c r="D793">
        <v>29.95</v>
      </c>
      <c r="E793">
        <v>0.019773837390929</v>
      </c>
      <c r="F793">
        <v>0</v>
      </c>
      <c r="G793">
        <v>0.1646586157796568</v>
      </c>
      <c r="H793">
        <v>0.5922264298583361</v>
      </c>
      <c r="I793">
        <v>1934.515155</v>
      </c>
      <c r="J793">
        <v>12.91726309377546</v>
      </c>
      <c r="K793">
        <v>0.2931814009199684</v>
      </c>
      <c r="L793">
        <v>0.8989621751087391</v>
      </c>
      <c r="M793">
        <v>37.27</v>
      </c>
      <c r="N793">
        <v>23.93</v>
      </c>
    </row>
    <row r="794" spans="1:14">
      <c r="A794" s="1" t="s">
        <v>806</v>
      </c>
      <c r="B794">
        <f>HYPERLINK("https://www.suredividend.com/sure-analysis-research-database/","Heartland Express, Inc.")</f>
        <v>0</v>
      </c>
      <c r="C794" t="s">
        <v>1924</v>
      </c>
      <c r="D794">
        <v>15.98</v>
      </c>
      <c r="E794">
        <v>0.004996302255305</v>
      </c>
      <c r="F794">
        <v>0</v>
      </c>
      <c r="G794">
        <v>0</v>
      </c>
      <c r="H794">
        <v>0.079840910039778</v>
      </c>
      <c r="I794">
        <v>1261.436655</v>
      </c>
      <c r="J794">
        <v>9.112385626918826</v>
      </c>
      <c r="K794">
        <v>0.04562337716558743</v>
      </c>
      <c r="L794">
        <v>0.6717777109831721</v>
      </c>
      <c r="M794">
        <v>17.32</v>
      </c>
      <c r="N794">
        <v>12.73</v>
      </c>
    </row>
    <row r="795" spans="1:14">
      <c r="A795" s="1" t="s">
        <v>807</v>
      </c>
      <c r="B795">
        <f>HYPERLINK("https://www.suredividend.com/sure-analysis-research-database/","Heartland Financial USA, Inc.")</f>
        <v>0</v>
      </c>
      <c r="C795" t="s">
        <v>1923</v>
      </c>
      <c r="D795">
        <v>46.11</v>
      </c>
      <c r="E795">
        <v>0.023306354044998</v>
      </c>
      <c r="F795">
        <v>0.03703703703703698</v>
      </c>
      <c r="G795">
        <v>0.1658506946484593</v>
      </c>
      <c r="H795">
        <v>1.074655985014895</v>
      </c>
      <c r="I795">
        <v>1957.13065</v>
      </c>
      <c r="J795">
        <v>10.13763182807061</v>
      </c>
      <c r="K795">
        <v>0.2372309017692925</v>
      </c>
      <c r="L795">
        <v>0.65380444480535</v>
      </c>
      <c r="M795">
        <v>52.45</v>
      </c>
      <c r="N795">
        <v>38.61</v>
      </c>
    </row>
    <row r="796" spans="1:14">
      <c r="A796" s="1" t="s">
        <v>808</v>
      </c>
      <c r="B796">
        <f>HYPERLINK("https://www.suredividend.com/sure-analysis-research-database/","Hub Group, Inc.")</f>
        <v>0</v>
      </c>
      <c r="C796" t="s">
        <v>1924</v>
      </c>
      <c r="D796">
        <v>80.25</v>
      </c>
      <c r="E796">
        <v>0</v>
      </c>
      <c r="F796" t="s">
        <v>1921</v>
      </c>
      <c r="G796" t="s">
        <v>1921</v>
      </c>
      <c r="H796">
        <v>0</v>
      </c>
      <c r="I796">
        <v>2620.521539</v>
      </c>
      <c r="J796">
        <v>7.239249749991712</v>
      </c>
      <c r="K796">
        <v>0</v>
      </c>
      <c r="L796">
        <v>0.9354485562303541</v>
      </c>
      <c r="M796">
        <v>89.62</v>
      </c>
      <c r="N796">
        <v>60.81</v>
      </c>
    </row>
    <row r="797" spans="1:14">
      <c r="A797" s="1" t="s">
        <v>809</v>
      </c>
      <c r="B797">
        <f>HYPERLINK("https://www.suredividend.com/sure-analysis-research-database/","Huron Consulting Group Inc")</f>
        <v>0</v>
      </c>
      <c r="C797" t="s">
        <v>1924</v>
      </c>
      <c r="D797">
        <v>68.16</v>
      </c>
      <c r="E797">
        <v>0</v>
      </c>
      <c r="F797" t="s">
        <v>1921</v>
      </c>
      <c r="G797" t="s">
        <v>1921</v>
      </c>
      <c r="H797">
        <v>0</v>
      </c>
      <c r="I797">
        <v>1358.665929</v>
      </c>
      <c r="J797">
        <v>15.17621616781717</v>
      </c>
      <c r="K797">
        <v>0</v>
      </c>
      <c r="L797">
        <v>0.440167007149647</v>
      </c>
      <c r="M797">
        <v>80.72</v>
      </c>
      <c r="N797">
        <v>42.66</v>
      </c>
    </row>
    <row r="798" spans="1:14">
      <c r="A798" s="1" t="s">
        <v>810</v>
      </c>
      <c r="B798">
        <f>HYPERLINK("https://www.suredividend.com/sure-analysis-research-database/","Haverty Furniture Cos., Inc.")</f>
        <v>0</v>
      </c>
      <c r="C798" t="s">
        <v>1927</v>
      </c>
      <c r="D798">
        <v>32.68</v>
      </c>
      <c r="E798">
        <v>0.033132653287443</v>
      </c>
      <c r="F798">
        <v>0.1200000000000001</v>
      </c>
      <c r="G798">
        <v>0.09238846414037316</v>
      </c>
      <c r="H798">
        <v>1.082775109433666</v>
      </c>
      <c r="I798">
        <v>524.903872</v>
      </c>
      <c r="J798">
        <v>5.837064604674954</v>
      </c>
      <c r="K798">
        <v>0.2090299439061131</v>
      </c>
      <c r="L798">
        <v>0.8535686550952211</v>
      </c>
      <c r="M798">
        <v>33.06</v>
      </c>
      <c r="N798">
        <v>22.57</v>
      </c>
    </row>
    <row r="799" spans="1:14">
      <c r="A799" s="1" t="s">
        <v>811</v>
      </c>
      <c r="B799">
        <f>HYPERLINK("https://www.suredividend.com/sure-analysis-research-database/","Hancock Whitney Corp.")</f>
        <v>0</v>
      </c>
      <c r="C799" t="s">
        <v>1923</v>
      </c>
      <c r="D799">
        <v>49.55</v>
      </c>
      <c r="E799">
        <v>0.021625978887728</v>
      </c>
      <c r="F799">
        <v>0</v>
      </c>
      <c r="G799">
        <v>0.02383625553960966</v>
      </c>
      <c r="H799">
        <v>1.071567253886958</v>
      </c>
      <c r="I799">
        <v>4246.103164</v>
      </c>
      <c r="J799">
        <v>8.329203808762516</v>
      </c>
      <c r="K799">
        <v>0.1822393288923398</v>
      </c>
      <c r="L799">
        <v>0.8735499111097661</v>
      </c>
      <c r="M799">
        <v>58.59</v>
      </c>
      <c r="N799">
        <v>41.18</v>
      </c>
    </row>
    <row r="800" spans="1:14">
      <c r="A800" s="1" t="s">
        <v>812</v>
      </c>
      <c r="B800">
        <f>HYPERLINK("https://www.suredividend.com/sure-analysis-research-database/","Hawkins Inc")</f>
        <v>0</v>
      </c>
      <c r="C800" t="s">
        <v>1925</v>
      </c>
      <c r="D800">
        <v>37.39</v>
      </c>
      <c r="E800">
        <v>0.014902241537442</v>
      </c>
      <c r="F800" t="s">
        <v>1921</v>
      </c>
      <c r="G800" t="s">
        <v>1921</v>
      </c>
      <c r="H800">
        <v>0.5571948110849571</v>
      </c>
      <c r="I800">
        <v>785.917161</v>
      </c>
      <c r="J800">
        <v>13.43999522402353</v>
      </c>
      <c r="K800">
        <v>0.2004297881600565</v>
      </c>
      <c r="L800">
        <v>0.6309060588901581</v>
      </c>
      <c r="M800">
        <v>47.63</v>
      </c>
      <c r="N800">
        <v>33.06</v>
      </c>
    </row>
    <row r="801" spans="1:14">
      <c r="A801" s="1" t="s">
        <v>813</v>
      </c>
      <c r="B801">
        <f>HYPERLINK("https://www.suredividend.com/sure-analysis-research-database/","Hyster-Yale Materials Handling Inc")</f>
        <v>0</v>
      </c>
      <c r="C801" t="s">
        <v>1924</v>
      </c>
      <c r="D801">
        <v>29.57</v>
      </c>
      <c r="E801">
        <v>0.043026209035745</v>
      </c>
      <c r="F801">
        <v>0</v>
      </c>
      <c r="G801">
        <v>0.01288669872745452</v>
      </c>
      <c r="H801">
        <v>1.272285001186988</v>
      </c>
      <c r="I801">
        <v>388.753537</v>
      </c>
      <c r="J801">
        <v>0</v>
      </c>
      <c r="K801" t="s">
        <v>1921</v>
      </c>
      <c r="L801">
        <v>1.053179806763996</v>
      </c>
      <c r="M801">
        <v>44.39</v>
      </c>
      <c r="N801">
        <v>20.75</v>
      </c>
    </row>
    <row r="802" spans="1:14">
      <c r="A802" s="1" t="s">
        <v>814</v>
      </c>
      <c r="B802">
        <f>HYPERLINK("https://www.suredividend.com/sure-analysis-research-database/","Hydrofarm Holdings Group Inc")</f>
        <v>0</v>
      </c>
      <c r="C802" t="s">
        <v>1921</v>
      </c>
      <c r="D802">
        <v>1.23</v>
      </c>
      <c r="E802">
        <v>0</v>
      </c>
      <c r="F802" t="s">
        <v>1921</v>
      </c>
      <c r="G802" t="s">
        <v>1921</v>
      </c>
      <c r="H802">
        <v>0</v>
      </c>
      <c r="I802">
        <v>55.559628</v>
      </c>
      <c r="J802">
        <v>0</v>
      </c>
      <c r="K802" t="s">
        <v>1921</v>
      </c>
      <c r="L802">
        <v>2.265373723677803</v>
      </c>
      <c r="M802">
        <v>26.06</v>
      </c>
      <c r="N802">
        <v>1.22</v>
      </c>
    </row>
    <row r="803" spans="1:14">
      <c r="A803" s="1" t="s">
        <v>815</v>
      </c>
      <c r="B803">
        <f>HYPERLINK("https://www.suredividend.com/sure-analysis-research-database/","Hyliion Holdings Corporation")</f>
        <v>0</v>
      </c>
      <c r="C803" t="s">
        <v>1921</v>
      </c>
      <c r="D803">
        <v>2.24</v>
      </c>
      <c r="E803">
        <v>0</v>
      </c>
      <c r="F803" t="s">
        <v>1921</v>
      </c>
      <c r="G803" t="s">
        <v>1921</v>
      </c>
      <c r="H803">
        <v>0</v>
      </c>
      <c r="I803">
        <v>402.559638</v>
      </c>
      <c r="J803">
        <v>0</v>
      </c>
      <c r="K803" t="s">
        <v>1921</v>
      </c>
      <c r="L803">
        <v>1.833754922143139</v>
      </c>
      <c r="M803">
        <v>5.7</v>
      </c>
      <c r="N803">
        <v>2.06</v>
      </c>
    </row>
    <row r="804" spans="1:14">
      <c r="A804" s="1" t="s">
        <v>816</v>
      </c>
      <c r="B804">
        <f>HYPERLINK("https://www.suredividend.com/sure-analysis-research-database/","HyreCar Inc")</f>
        <v>0</v>
      </c>
      <c r="C804" t="s">
        <v>1924</v>
      </c>
      <c r="D804">
        <v>0.48</v>
      </c>
      <c r="E804">
        <v>0</v>
      </c>
      <c r="F804" t="s">
        <v>1921</v>
      </c>
      <c r="G804" t="s">
        <v>1921</v>
      </c>
      <c r="H804">
        <v>0</v>
      </c>
      <c r="I804">
        <v>14.239713</v>
      </c>
      <c r="J804">
        <v>0</v>
      </c>
      <c r="K804" t="s">
        <v>1921</v>
      </c>
      <c r="L804">
        <v>1.722565846962376</v>
      </c>
      <c r="M804">
        <v>4.06</v>
      </c>
      <c r="N804">
        <v>0.35</v>
      </c>
    </row>
    <row r="805" spans="1:14">
      <c r="A805" s="1" t="s">
        <v>817</v>
      </c>
      <c r="B805">
        <f>HYPERLINK("https://www.suredividend.com/sure-analysis-research-database/","Marinemax, Inc.")</f>
        <v>0</v>
      </c>
      <c r="C805" t="s">
        <v>1927</v>
      </c>
      <c r="D805">
        <v>32.19</v>
      </c>
      <c r="E805">
        <v>0</v>
      </c>
      <c r="F805" t="s">
        <v>1921</v>
      </c>
      <c r="G805" t="s">
        <v>1921</v>
      </c>
      <c r="H805">
        <v>0</v>
      </c>
      <c r="I805">
        <v>703.237065</v>
      </c>
      <c r="J805">
        <v>3.551899673971786</v>
      </c>
      <c r="K805">
        <v>0</v>
      </c>
      <c r="L805">
        <v>1.137915050914736</v>
      </c>
      <c r="M805">
        <v>55.15</v>
      </c>
      <c r="N805">
        <v>27.4</v>
      </c>
    </row>
    <row r="806" spans="1:14">
      <c r="A806" s="1" t="s">
        <v>818</v>
      </c>
      <c r="B806">
        <f>HYPERLINK("https://www.suredividend.com/sure-analysis-research-database/","Integral Ad Science Holding Corp")</f>
        <v>0</v>
      </c>
      <c r="C806" t="s">
        <v>1921</v>
      </c>
      <c r="D806">
        <v>9.44</v>
      </c>
      <c r="E806">
        <v>0</v>
      </c>
      <c r="F806" t="s">
        <v>1921</v>
      </c>
      <c r="G806" t="s">
        <v>1921</v>
      </c>
      <c r="H806">
        <v>0</v>
      </c>
      <c r="I806">
        <v>1452.139869</v>
      </c>
      <c r="J806">
        <v>0</v>
      </c>
      <c r="K806" t="s">
        <v>1921</v>
      </c>
      <c r="L806">
        <v>1.434485847496632</v>
      </c>
      <c r="M806">
        <v>20.5</v>
      </c>
      <c r="N806">
        <v>6.63</v>
      </c>
    </row>
    <row r="807" spans="1:14">
      <c r="A807" s="1" t="s">
        <v>819</v>
      </c>
      <c r="B807">
        <f>HYPERLINK("https://www.suredividend.com/sure-analysis-research-database/","Independent Bank Corporation (Ionia, MI)")</f>
        <v>0</v>
      </c>
      <c r="C807" t="s">
        <v>1923</v>
      </c>
      <c r="D807">
        <v>23.94</v>
      </c>
      <c r="E807">
        <v>0.036200958646571</v>
      </c>
      <c r="F807" t="s">
        <v>1921</v>
      </c>
      <c r="G807" t="s">
        <v>1921</v>
      </c>
      <c r="H807">
        <v>0.866650949998911</v>
      </c>
      <c r="I807">
        <v>504.299547</v>
      </c>
      <c r="J807">
        <v>0</v>
      </c>
      <c r="K807" t="s">
        <v>1921</v>
      </c>
      <c r="L807">
        <v>0.6427350986133611</v>
      </c>
      <c r="M807">
        <v>24.97</v>
      </c>
      <c r="N807">
        <v>17.51</v>
      </c>
    </row>
    <row r="808" spans="1:14">
      <c r="A808" s="1" t="s">
        <v>820</v>
      </c>
      <c r="B808">
        <f>HYPERLINK("https://www.suredividend.com/sure-analysis-research-database/","IBEX Ltd")</f>
        <v>0</v>
      </c>
      <c r="C808" t="s">
        <v>1921</v>
      </c>
      <c r="D808">
        <v>25.02</v>
      </c>
      <c r="E808">
        <v>0</v>
      </c>
      <c r="F808" t="s">
        <v>1921</v>
      </c>
      <c r="G808" t="s">
        <v>1921</v>
      </c>
      <c r="H808">
        <v>0</v>
      </c>
      <c r="I808">
        <v>456.564935</v>
      </c>
      <c r="J808">
        <v>0</v>
      </c>
      <c r="K808" t="s">
        <v>1921</v>
      </c>
      <c r="L808">
        <v>0.5144380622720121</v>
      </c>
      <c r="M808">
        <v>27.77</v>
      </c>
      <c r="N808">
        <v>12.48</v>
      </c>
    </row>
    <row r="809" spans="1:14">
      <c r="A809" s="1" t="s">
        <v>821</v>
      </c>
      <c r="B809">
        <f>HYPERLINK("https://www.suredividend.com/sure-analysis-research-database/","iBio Inc")</f>
        <v>0</v>
      </c>
      <c r="C809" t="s">
        <v>1922</v>
      </c>
      <c r="D809">
        <v>0.5600000000000001</v>
      </c>
      <c r="E809">
        <v>0</v>
      </c>
      <c r="F809" t="s">
        <v>1921</v>
      </c>
      <c r="G809" t="s">
        <v>1921</v>
      </c>
      <c r="H809">
        <v>0</v>
      </c>
      <c r="I809">
        <v>5.043686</v>
      </c>
      <c r="J809">
        <v>0</v>
      </c>
      <c r="K809" t="s">
        <v>1921</v>
      </c>
      <c r="L809">
        <v>1.034497491746012</v>
      </c>
      <c r="M809">
        <v>16.51</v>
      </c>
      <c r="N809">
        <v>0.36</v>
      </c>
    </row>
    <row r="810" spans="1:14">
      <c r="A810" s="1" t="s">
        <v>822</v>
      </c>
      <c r="B810">
        <f>HYPERLINK("https://www.suredividend.com/sure-analysis-research-database/","International Bancshares Corp.")</f>
        <v>0</v>
      </c>
      <c r="C810" t="s">
        <v>1923</v>
      </c>
      <c r="D810">
        <v>45.49</v>
      </c>
      <c r="E810">
        <v>0.026206000152601</v>
      </c>
      <c r="F810" t="s">
        <v>1921</v>
      </c>
      <c r="G810" t="s">
        <v>1921</v>
      </c>
      <c r="H810">
        <v>1.192110946941863</v>
      </c>
      <c r="I810">
        <v>2825.557035</v>
      </c>
      <c r="J810">
        <v>11.24170281182116</v>
      </c>
      <c r="K810">
        <v>0.2995253635532319</v>
      </c>
      <c r="L810">
        <v>0.7158092555545931</v>
      </c>
      <c r="M810">
        <v>53.71</v>
      </c>
      <c r="N810">
        <v>37.5</v>
      </c>
    </row>
    <row r="811" spans="1:14">
      <c r="A811" s="1" t="s">
        <v>823</v>
      </c>
      <c r="B811">
        <f>HYPERLINK("https://www.suredividend.com/sure-analysis-research-database/","Installed Building Products Inc")</f>
        <v>0</v>
      </c>
      <c r="C811" t="s">
        <v>1924</v>
      </c>
      <c r="D811">
        <v>93.45999999999999</v>
      </c>
      <c r="E811">
        <v>0.022937079578714</v>
      </c>
      <c r="F811" t="s">
        <v>1921</v>
      </c>
      <c r="G811" t="s">
        <v>1921</v>
      </c>
      <c r="H811">
        <v>2.143699457426669</v>
      </c>
      <c r="I811">
        <v>2673.274886</v>
      </c>
      <c r="J811">
        <v>14.5230638477544</v>
      </c>
      <c r="K811">
        <v>0.3397305003845751</v>
      </c>
      <c r="L811">
        <v>1.260031608452494</v>
      </c>
      <c r="M811">
        <v>123.82</v>
      </c>
      <c r="N811">
        <v>68.95999999999999</v>
      </c>
    </row>
    <row r="812" spans="1:14">
      <c r="A812" s="1" t="s">
        <v>824</v>
      </c>
      <c r="B812">
        <f>HYPERLINK("https://www.suredividend.com/sure-analysis-research-database/","ImmunityBio Inc")</f>
        <v>0</v>
      </c>
      <c r="C812" t="s">
        <v>1921</v>
      </c>
      <c r="D812">
        <v>4.26</v>
      </c>
      <c r="E812">
        <v>0</v>
      </c>
      <c r="F812" t="s">
        <v>1921</v>
      </c>
      <c r="G812" t="s">
        <v>1921</v>
      </c>
      <c r="H812">
        <v>0</v>
      </c>
      <c r="I812">
        <v>1705.295492</v>
      </c>
      <c r="J812">
        <v>0</v>
      </c>
      <c r="K812" t="s">
        <v>1921</v>
      </c>
      <c r="L812">
        <v>2.529400629636219</v>
      </c>
      <c r="M812">
        <v>7.85</v>
      </c>
      <c r="N812">
        <v>2.6</v>
      </c>
    </row>
    <row r="813" spans="1:14">
      <c r="A813" s="1" t="s">
        <v>825</v>
      </c>
      <c r="B813">
        <f>HYPERLINK("https://www.suredividend.com/sure-analysis-research-database/","Independent Bank Group Inc")</f>
        <v>0</v>
      </c>
      <c r="C813" t="s">
        <v>1923</v>
      </c>
      <c r="D813">
        <v>58.29</v>
      </c>
      <c r="E813">
        <v>0.025855279356373</v>
      </c>
      <c r="F813">
        <v>0.05555555555555558</v>
      </c>
      <c r="G813">
        <v>0.2592746769380385</v>
      </c>
      <c r="H813">
        <v>1.50710423368302</v>
      </c>
      <c r="I813">
        <v>2401.327256</v>
      </c>
      <c r="J813">
        <v>11.54179066001778</v>
      </c>
      <c r="K813">
        <v>0.3032402884674085</v>
      </c>
      <c r="L813">
        <v>0.7498989419336271</v>
      </c>
      <c r="M813">
        <v>77.95</v>
      </c>
      <c r="N813">
        <v>56.22</v>
      </c>
    </row>
    <row r="814" spans="1:14">
      <c r="A814" s="1" t="s">
        <v>826</v>
      </c>
      <c r="B814">
        <f>HYPERLINK("https://www.suredividend.com/sure-analysis-research-database/","Icad Inc")</f>
        <v>0</v>
      </c>
      <c r="C814" t="s">
        <v>1922</v>
      </c>
      <c r="D814">
        <v>1.93</v>
      </c>
      <c r="E814">
        <v>0</v>
      </c>
      <c r="F814" t="s">
        <v>1921</v>
      </c>
      <c r="G814" t="s">
        <v>1921</v>
      </c>
      <c r="H814">
        <v>0</v>
      </c>
      <c r="I814">
        <v>48.894495</v>
      </c>
      <c r="J814" t="s">
        <v>1921</v>
      </c>
      <c r="K814">
        <v>-0</v>
      </c>
      <c r="L814">
        <v>1.133683764540103</v>
      </c>
      <c r="M814">
        <v>6.82</v>
      </c>
      <c r="N814">
        <v>1.53</v>
      </c>
    </row>
    <row r="815" spans="1:14">
      <c r="A815" s="1" t="s">
        <v>827</v>
      </c>
      <c r="B815">
        <f>HYPERLINK("https://www.suredividend.com/sure-analysis-research-database/","ICF International, Inc")</f>
        <v>0</v>
      </c>
      <c r="C815" t="s">
        <v>1924</v>
      </c>
      <c r="D815">
        <v>99.36</v>
      </c>
      <c r="E815">
        <v>0.005624683823877001</v>
      </c>
      <c r="F815">
        <v>0</v>
      </c>
      <c r="G815">
        <v>0</v>
      </c>
      <c r="H815">
        <v>0.558868584740512</v>
      </c>
      <c r="I815">
        <v>1872.329407</v>
      </c>
      <c r="J815">
        <v>27.76165661669855</v>
      </c>
      <c r="K815">
        <v>0.1578724815651164</v>
      </c>
      <c r="L815">
        <v>0.580834246050144</v>
      </c>
      <c r="M815">
        <v>121.11</v>
      </c>
      <c r="N815">
        <v>84.20999999999999</v>
      </c>
    </row>
    <row r="816" spans="1:14">
      <c r="A816" s="1" t="s">
        <v>828</v>
      </c>
      <c r="B816">
        <f>HYPERLINK("https://www.suredividend.com/sure-analysis-research-database/","Ichor Holdings Ltd")</f>
        <v>0</v>
      </c>
      <c r="C816" t="s">
        <v>1920</v>
      </c>
      <c r="D816">
        <v>29.45</v>
      </c>
      <c r="E816">
        <v>0</v>
      </c>
      <c r="F816" t="s">
        <v>1921</v>
      </c>
      <c r="G816" t="s">
        <v>1921</v>
      </c>
      <c r="H816">
        <v>0</v>
      </c>
      <c r="I816">
        <v>848.234656</v>
      </c>
      <c r="J816">
        <v>11.54594854422454</v>
      </c>
      <c r="K816">
        <v>0</v>
      </c>
      <c r="L816">
        <v>1.927961951069358</v>
      </c>
      <c r="M816">
        <v>48.89</v>
      </c>
      <c r="N816">
        <v>21.04</v>
      </c>
    </row>
    <row r="817" spans="1:14">
      <c r="A817" s="1" t="s">
        <v>829</v>
      </c>
      <c r="B817">
        <f>HYPERLINK("https://www.suredividend.com/sure-analysis-research-database/","Intercept Pharmaceuticals Inc")</f>
        <v>0</v>
      </c>
      <c r="C817" t="s">
        <v>1922</v>
      </c>
      <c r="D817">
        <v>14.52</v>
      </c>
      <c r="E817">
        <v>0</v>
      </c>
      <c r="F817" t="s">
        <v>1921</v>
      </c>
      <c r="G817" t="s">
        <v>1921</v>
      </c>
      <c r="H817">
        <v>0</v>
      </c>
      <c r="I817">
        <v>601.376684</v>
      </c>
      <c r="J817">
        <v>2.914197372759387</v>
      </c>
      <c r="K817">
        <v>0</v>
      </c>
      <c r="L817">
        <v>1.119227347755174</v>
      </c>
      <c r="M817">
        <v>21.25</v>
      </c>
      <c r="N817">
        <v>10.81</v>
      </c>
    </row>
    <row r="818" spans="1:14">
      <c r="A818" s="1" t="s">
        <v>830</v>
      </c>
      <c r="B818">
        <f>HYPERLINK("https://www.suredividend.com/sure-analysis-research-database/","Icosavax Inc")</f>
        <v>0</v>
      </c>
      <c r="C818" t="s">
        <v>1921</v>
      </c>
      <c r="D818">
        <v>8.5</v>
      </c>
      <c r="E818">
        <v>0</v>
      </c>
      <c r="F818" t="s">
        <v>1921</v>
      </c>
      <c r="G818" t="s">
        <v>1921</v>
      </c>
      <c r="H818">
        <v>0</v>
      </c>
      <c r="I818">
        <v>339.024243</v>
      </c>
      <c r="J818">
        <v>0</v>
      </c>
      <c r="K818" t="s">
        <v>1921</v>
      </c>
      <c r="L818">
        <v>1.358870517561202</v>
      </c>
      <c r="M818">
        <v>19.56</v>
      </c>
      <c r="N818">
        <v>2.28</v>
      </c>
    </row>
    <row r="819" spans="1:14">
      <c r="A819" s="1" t="s">
        <v>831</v>
      </c>
      <c r="B819">
        <f>HYPERLINK("https://www.suredividend.com/sure-analysis-research-database/","Interdigital Inc")</f>
        <v>0</v>
      </c>
      <c r="C819" t="s">
        <v>1931</v>
      </c>
      <c r="D819">
        <v>57.79</v>
      </c>
      <c r="E819">
        <v>0.023844403376506</v>
      </c>
      <c r="F819">
        <v>0</v>
      </c>
      <c r="G819">
        <v>0</v>
      </c>
      <c r="H819">
        <v>1.377968071128295</v>
      </c>
      <c r="I819">
        <v>1714.224365</v>
      </c>
      <c r="J819">
        <v>20.61282499993987</v>
      </c>
      <c r="K819">
        <v>0.5103585448623315</v>
      </c>
      <c r="L819">
        <v>0.9439157366853591</v>
      </c>
      <c r="M819">
        <v>70.12</v>
      </c>
      <c r="N819">
        <v>39.69</v>
      </c>
    </row>
    <row r="820" spans="1:14">
      <c r="A820" s="1" t="s">
        <v>832</v>
      </c>
      <c r="B820">
        <f>HYPERLINK("https://www.suredividend.com/sure-analysis-research-database/","Ideanomics Inc")</f>
        <v>0</v>
      </c>
      <c r="C820" t="s">
        <v>1920</v>
      </c>
      <c r="D820">
        <v>0.1717</v>
      </c>
      <c r="E820">
        <v>0</v>
      </c>
      <c r="F820" t="s">
        <v>1921</v>
      </c>
      <c r="G820" t="s">
        <v>1921</v>
      </c>
      <c r="H820">
        <v>0</v>
      </c>
      <c r="I820">
        <v>96.770616</v>
      </c>
      <c r="J820">
        <v>0</v>
      </c>
      <c r="K820" t="s">
        <v>1921</v>
      </c>
      <c r="L820">
        <v>1.522526976327184</v>
      </c>
      <c r="M820">
        <v>1.22</v>
      </c>
      <c r="N820">
        <v>0.142</v>
      </c>
    </row>
    <row r="821" spans="1:14">
      <c r="A821" s="1" t="s">
        <v>833</v>
      </c>
      <c r="B821">
        <f>HYPERLINK("https://www.suredividend.com/sure-analysis-research-database/","IDT Corp.")</f>
        <v>0</v>
      </c>
      <c r="C821" t="s">
        <v>1931</v>
      </c>
      <c r="D821">
        <v>26.85</v>
      </c>
      <c r="E821">
        <v>0</v>
      </c>
      <c r="F821" t="s">
        <v>1921</v>
      </c>
      <c r="G821" t="s">
        <v>1921</v>
      </c>
      <c r="H821">
        <v>0</v>
      </c>
      <c r="I821">
        <v>642.646829</v>
      </c>
      <c r="J821">
        <v>15.86468917868076</v>
      </c>
      <c r="K821">
        <v>0</v>
      </c>
      <c r="L821">
        <v>1.121373218306683</v>
      </c>
      <c r="M821">
        <v>43.72</v>
      </c>
      <c r="N821">
        <v>21.68</v>
      </c>
    </row>
    <row r="822" spans="1:14">
      <c r="A822" s="1" t="s">
        <v>834</v>
      </c>
      <c r="B822">
        <f>HYPERLINK("https://www.suredividend.com/sure-analysis-research-database/","Ideaya Biosciences Inc")</f>
        <v>0</v>
      </c>
      <c r="C822" t="s">
        <v>1922</v>
      </c>
      <c r="D822">
        <v>16.74</v>
      </c>
      <c r="E822">
        <v>0</v>
      </c>
      <c r="F822" t="s">
        <v>1921</v>
      </c>
      <c r="G822" t="s">
        <v>1921</v>
      </c>
      <c r="H822">
        <v>0</v>
      </c>
      <c r="I822">
        <v>805.4200070000001</v>
      </c>
      <c r="J822">
        <v>0</v>
      </c>
      <c r="K822" t="s">
        <v>1921</v>
      </c>
      <c r="L822">
        <v>1.069286953997721</v>
      </c>
      <c r="M822">
        <v>19.14</v>
      </c>
      <c r="N822">
        <v>8.140000000000001</v>
      </c>
    </row>
    <row r="823" spans="1:14">
      <c r="A823" s="1" t="s">
        <v>835</v>
      </c>
      <c r="B823">
        <f>HYPERLINK("https://www.suredividend.com/sure-analysis-research-database/","Infrastructure and Energy Alternatives Inc")</f>
        <v>0</v>
      </c>
      <c r="C823" t="s">
        <v>1924</v>
      </c>
      <c r="D823">
        <v>13.72</v>
      </c>
      <c r="E823">
        <v>0</v>
      </c>
      <c r="F823" t="s">
        <v>1921</v>
      </c>
      <c r="G823" t="s">
        <v>1921</v>
      </c>
      <c r="H823">
        <v>0</v>
      </c>
      <c r="I823">
        <v>0</v>
      </c>
      <c r="J823">
        <v>0</v>
      </c>
      <c r="K823">
        <v>-0</v>
      </c>
    </row>
    <row r="824" spans="1:14">
      <c r="A824" s="1" t="s">
        <v>836</v>
      </c>
      <c r="B824">
        <f>HYPERLINK("https://www.suredividend.com/sure-analysis-research-database/","IES Holdings Inc")</f>
        <v>0</v>
      </c>
      <c r="C824" t="s">
        <v>1924</v>
      </c>
      <c r="D824">
        <v>36.71</v>
      </c>
      <c r="E824">
        <v>0</v>
      </c>
      <c r="F824" t="s">
        <v>1921</v>
      </c>
      <c r="G824" t="s">
        <v>1921</v>
      </c>
      <c r="H824">
        <v>0</v>
      </c>
      <c r="I824">
        <v>742.443487</v>
      </c>
      <c r="J824">
        <v>24.71022723390801</v>
      </c>
      <c r="K824">
        <v>0</v>
      </c>
      <c r="L824">
        <v>0.9227001247231811</v>
      </c>
      <c r="M824">
        <v>51.5</v>
      </c>
      <c r="N824">
        <v>24.94</v>
      </c>
    </row>
    <row r="825" spans="1:14">
      <c r="A825" s="1" t="s">
        <v>837</v>
      </c>
      <c r="B825">
        <f>HYPERLINK("https://www.suredividend.com/sure-analysis-research-database/","IGM Biosciences Inc")</f>
        <v>0</v>
      </c>
      <c r="C825" t="s">
        <v>1922</v>
      </c>
      <c r="D825">
        <v>18.31</v>
      </c>
      <c r="E825">
        <v>0</v>
      </c>
      <c r="F825" t="s">
        <v>1921</v>
      </c>
      <c r="G825" t="s">
        <v>1921</v>
      </c>
      <c r="H825">
        <v>0</v>
      </c>
      <c r="I825">
        <v>533.528279</v>
      </c>
      <c r="J825">
        <v>0</v>
      </c>
      <c r="K825" t="s">
        <v>1921</v>
      </c>
      <c r="L825">
        <v>2.008866079572791</v>
      </c>
      <c r="M825">
        <v>35.98</v>
      </c>
      <c r="N825">
        <v>12.67</v>
      </c>
    </row>
    <row r="826" spans="1:14">
      <c r="A826" s="1" t="s">
        <v>838</v>
      </c>
      <c r="B826">
        <f>HYPERLINK("https://www.suredividend.com/sure-analysis-research-database/","International Game Technology PLC")</f>
        <v>0</v>
      </c>
      <c r="C826" t="s">
        <v>1927</v>
      </c>
      <c r="D826">
        <v>23.82</v>
      </c>
      <c r="E826">
        <v>0.03335609352058901</v>
      </c>
      <c r="F826" t="s">
        <v>1921</v>
      </c>
      <c r="G826" t="s">
        <v>1921</v>
      </c>
      <c r="H826">
        <v>0.7945421476604371</v>
      </c>
      <c r="I826">
        <v>4851.850971</v>
      </c>
      <c r="J826">
        <v>13.51490521103064</v>
      </c>
      <c r="K826">
        <v>0.4540240843773926</v>
      </c>
      <c r="L826">
        <v>1.730186172909546</v>
      </c>
      <c r="M826">
        <v>30.01</v>
      </c>
      <c r="N826">
        <v>15.01</v>
      </c>
    </row>
    <row r="827" spans="1:14">
      <c r="A827" s="1" t="s">
        <v>839</v>
      </c>
      <c r="B827">
        <f>HYPERLINK("https://www.suredividend.com/sure-analysis-research-database/","iHeartMedia Inc")</f>
        <v>0</v>
      </c>
      <c r="C827" t="s">
        <v>1931</v>
      </c>
      <c r="D827">
        <v>6.73</v>
      </c>
      <c r="E827">
        <v>0</v>
      </c>
      <c r="F827" t="s">
        <v>1921</v>
      </c>
      <c r="G827" t="s">
        <v>1921</v>
      </c>
      <c r="H827">
        <v>0</v>
      </c>
      <c r="I827">
        <v>819.457634</v>
      </c>
      <c r="J827">
        <v>0</v>
      </c>
      <c r="K827" t="s">
        <v>1921</v>
      </c>
      <c r="L827">
        <v>1.711823283283705</v>
      </c>
      <c r="M827">
        <v>21.53</v>
      </c>
      <c r="N827">
        <v>5.85</v>
      </c>
    </row>
    <row r="828" spans="1:14">
      <c r="A828" s="1" t="s">
        <v>840</v>
      </c>
      <c r="B828">
        <f>HYPERLINK("https://www.suredividend.com/sure-analysis-research-database/","Insteel Industries, Inc.")</f>
        <v>0</v>
      </c>
      <c r="C828" t="s">
        <v>1924</v>
      </c>
      <c r="D828">
        <v>28.74</v>
      </c>
      <c r="E828">
        <v>0.004169215422229</v>
      </c>
      <c r="F828">
        <v>65.66666666666667</v>
      </c>
      <c r="G828">
        <v>1.316230351238589</v>
      </c>
      <c r="H828">
        <v>0.119823251234876</v>
      </c>
      <c r="I828">
        <v>559.0261369999999</v>
      </c>
      <c r="J828">
        <v>4.471815577989137</v>
      </c>
      <c r="K828">
        <v>0.0188105574937011</v>
      </c>
      <c r="L828">
        <v>0.9557885549239931</v>
      </c>
      <c r="M828">
        <v>47.57</v>
      </c>
      <c r="N828">
        <v>23.97</v>
      </c>
    </row>
    <row r="829" spans="1:14">
      <c r="A829" s="1" t="s">
        <v>841</v>
      </c>
      <c r="B829">
        <f>HYPERLINK("https://www.suredividend.com/sure-analysis-research-database/","i3 Verticals Inc")</f>
        <v>0</v>
      </c>
      <c r="C829" t="s">
        <v>1920</v>
      </c>
      <c r="D829">
        <v>28.14</v>
      </c>
      <c r="E829">
        <v>0</v>
      </c>
      <c r="F829" t="s">
        <v>1921</v>
      </c>
      <c r="G829" t="s">
        <v>1921</v>
      </c>
      <c r="H829">
        <v>0</v>
      </c>
      <c r="I829">
        <v>647.196081</v>
      </c>
      <c r="J829" t="s">
        <v>1921</v>
      </c>
      <c r="K829">
        <v>-0</v>
      </c>
      <c r="L829">
        <v>1.350384159255449</v>
      </c>
      <c r="M829">
        <v>30.26</v>
      </c>
      <c r="N829">
        <v>18.59</v>
      </c>
    </row>
    <row r="830" spans="1:14">
      <c r="A830" s="1" t="s">
        <v>842</v>
      </c>
      <c r="B830">
        <f>HYPERLINK("https://www.suredividend.com/sure-analysis-IIPR/","Innovative Industrial Properties Inc")</f>
        <v>0</v>
      </c>
      <c r="C830" t="s">
        <v>1929</v>
      </c>
      <c r="D830">
        <v>101.54</v>
      </c>
      <c r="E830">
        <v>0.07090801654520386</v>
      </c>
      <c r="F830">
        <v>0.2</v>
      </c>
      <c r="G830">
        <v>0.4841113939020589</v>
      </c>
      <c r="H830">
        <v>6.913403741699421</v>
      </c>
      <c r="I830">
        <v>2840.373038</v>
      </c>
      <c r="J830">
        <v>20.34636598863905</v>
      </c>
      <c r="K830">
        <v>1.350274168300668</v>
      </c>
      <c r="L830">
        <v>1.315240015446152</v>
      </c>
      <c r="M830">
        <v>210.37</v>
      </c>
      <c r="N830">
        <v>84.26000000000001</v>
      </c>
    </row>
    <row r="831" spans="1:14">
      <c r="A831" s="1" t="s">
        <v>843</v>
      </c>
      <c r="B831">
        <f>HYPERLINK("https://www.suredividend.com/sure-analysis-research-database/","Ii-Vi Inc.")</f>
        <v>0</v>
      </c>
      <c r="C831" t="s">
        <v>1920</v>
      </c>
      <c r="D831">
        <v>43.26</v>
      </c>
      <c r="E831">
        <v>0</v>
      </c>
      <c r="F831" t="s">
        <v>1921</v>
      </c>
      <c r="G831" t="s">
        <v>1921</v>
      </c>
      <c r="H831">
        <v>0</v>
      </c>
      <c r="I831">
        <v>5490.182255</v>
      </c>
      <c r="J831">
        <v>32.96733552667924</v>
      </c>
      <c r="K831">
        <v>0</v>
      </c>
      <c r="L831">
        <v>1.395687722552467</v>
      </c>
      <c r="M831">
        <v>75.05</v>
      </c>
      <c r="N831">
        <v>40.8</v>
      </c>
    </row>
    <row r="832" spans="1:14">
      <c r="A832" s="1" t="s">
        <v>844</v>
      </c>
      <c r="B832">
        <f>HYPERLINK("https://www.suredividend.com/sure-analysis-research-database/","Ikena Oncology Inc")</f>
        <v>0</v>
      </c>
      <c r="C832" t="s">
        <v>1921</v>
      </c>
      <c r="D832">
        <v>3.16</v>
      </c>
      <c r="E832">
        <v>0</v>
      </c>
      <c r="F832" t="s">
        <v>1921</v>
      </c>
      <c r="G832" t="s">
        <v>1921</v>
      </c>
      <c r="H832">
        <v>0</v>
      </c>
      <c r="I832">
        <v>114.573678</v>
      </c>
      <c r="J832">
        <v>0</v>
      </c>
      <c r="K832" t="s">
        <v>1921</v>
      </c>
      <c r="L832">
        <v>1.241933090129569</v>
      </c>
      <c r="M832">
        <v>12.82</v>
      </c>
      <c r="N832">
        <v>1.94</v>
      </c>
    </row>
    <row r="833" spans="1:14">
      <c r="A833" s="1" t="s">
        <v>845</v>
      </c>
      <c r="B833">
        <f>HYPERLINK("https://www.suredividend.com/sure-analysis-ILPT/","Industrial Logistics Properties Trust")</f>
        <v>0</v>
      </c>
      <c r="C833" t="s">
        <v>1929</v>
      </c>
      <c r="D833">
        <v>3.99</v>
      </c>
      <c r="E833">
        <v>0.0100250626566416</v>
      </c>
      <c r="F833" t="s">
        <v>1921</v>
      </c>
      <c r="G833" t="s">
        <v>1921</v>
      </c>
      <c r="H833">
        <v>0.6726864191885851</v>
      </c>
      <c r="I833">
        <v>261.618554</v>
      </c>
      <c r="J833" t="s">
        <v>1921</v>
      </c>
      <c r="K833" t="s">
        <v>1921</v>
      </c>
      <c r="L833">
        <v>1.12626507219255</v>
      </c>
      <c r="M833">
        <v>24.52</v>
      </c>
      <c r="N833">
        <v>3.05</v>
      </c>
    </row>
    <row r="834" spans="1:14">
      <c r="A834" s="1" t="s">
        <v>846</v>
      </c>
      <c r="B834">
        <f>HYPERLINK("https://www.suredividend.com/sure-analysis-research-database/","Imax Corp")</f>
        <v>0</v>
      </c>
      <c r="C834" t="s">
        <v>1931</v>
      </c>
      <c r="D834">
        <v>15.82</v>
      </c>
      <c r="E834">
        <v>0</v>
      </c>
      <c r="F834" t="s">
        <v>1921</v>
      </c>
      <c r="G834" t="s">
        <v>1921</v>
      </c>
      <c r="H834">
        <v>0</v>
      </c>
      <c r="I834">
        <v>885.499868</v>
      </c>
      <c r="J834" t="s">
        <v>1921</v>
      </c>
      <c r="K834">
        <v>-0</v>
      </c>
      <c r="L834">
        <v>1.172706357987803</v>
      </c>
      <c r="M834">
        <v>21.25</v>
      </c>
      <c r="N834">
        <v>12.13</v>
      </c>
    </row>
    <row r="835" spans="1:14">
      <c r="A835" s="1" t="s">
        <v>847</v>
      </c>
      <c r="B835">
        <f>HYPERLINK("https://www.suredividend.com/sure-analysis-research-database/","Immunogen, Inc.")</f>
        <v>0</v>
      </c>
      <c r="C835" t="s">
        <v>1922</v>
      </c>
      <c r="D835">
        <v>4.14</v>
      </c>
      <c r="E835">
        <v>0</v>
      </c>
      <c r="F835" t="s">
        <v>1921</v>
      </c>
      <c r="G835" t="s">
        <v>1921</v>
      </c>
      <c r="H835">
        <v>0</v>
      </c>
      <c r="I835">
        <v>913.908842</v>
      </c>
      <c r="J835" t="s">
        <v>1921</v>
      </c>
      <c r="K835">
        <v>-0</v>
      </c>
      <c r="L835">
        <v>1.424388237264638</v>
      </c>
      <c r="M835">
        <v>7.26</v>
      </c>
      <c r="N835">
        <v>3.1</v>
      </c>
    </row>
    <row r="836" spans="1:14">
      <c r="A836" s="1" t="s">
        <v>848</v>
      </c>
      <c r="B836">
        <f>HYPERLINK("https://www.suredividend.com/sure-analysis-research-database/","Imago BioSciences Inc")</f>
        <v>0</v>
      </c>
      <c r="C836" t="s">
        <v>1921</v>
      </c>
      <c r="D836">
        <v>36</v>
      </c>
      <c r="E836">
        <v>0</v>
      </c>
      <c r="F836" t="s">
        <v>1921</v>
      </c>
      <c r="G836" t="s">
        <v>1921</v>
      </c>
      <c r="H836">
        <v>0</v>
      </c>
      <c r="I836">
        <v>1217.599236</v>
      </c>
      <c r="J836">
        <v>0</v>
      </c>
      <c r="K836" t="s">
        <v>1921</v>
      </c>
      <c r="L836">
        <v>1.270887904430686</v>
      </c>
      <c r="M836">
        <v>36.09</v>
      </c>
      <c r="N836">
        <v>11.56</v>
      </c>
    </row>
    <row r="837" spans="1:14">
      <c r="A837" s="1" t="s">
        <v>849</v>
      </c>
      <c r="B837">
        <f>HYPERLINK("https://www.suredividend.com/sure-analysis-research-database/","Ingles Markets, Inc.")</f>
        <v>0</v>
      </c>
      <c r="C837" t="s">
        <v>1928</v>
      </c>
      <c r="D837">
        <v>95.79000000000001</v>
      </c>
      <c r="E837">
        <v>0.006871106350296001</v>
      </c>
      <c r="F837">
        <v>0</v>
      </c>
      <c r="G837">
        <v>0</v>
      </c>
      <c r="H837">
        <v>0.658183277294866</v>
      </c>
      <c r="I837">
        <v>1378.101993</v>
      </c>
      <c r="J837">
        <v>5.052454206008612</v>
      </c>
      <c r="K837">
        <v>0.04583449006231658</v>
      </c>
      <c r="L837">
        <v>0.579419204538268</v>
      </c>
      <c r="M837">
        <v>102.81</v>
      </c>
      <c r="N837">
        <v>74.08</v>
      </c>
    </row>
    <row r="838" spans="1:14">
      <c r="A838" s="1" t="s">
        <v>850</v>
      </c>
      <c r="B838">
        <f>HYPERLINK("https://www.suredividend.com/sure-analysis-research-database/","Impel Pharmaceuticals Inc")</f>
        <v>0</v>
      </c>
      <c r="C838" t="s">
        <v>1921</v>
      </c>
      <c r="D838">
        <v>4.1</v>
      </c>
      <c r="E838">
        <v>0</v>
      </c>
      <c r="F838" t="s">
        <v>1921</v>
      </c>
      <c r="G838" t="s">
        <v>1921</v>
      </c>
      <c r="H838">
        <v>0</v>
      </c>
      <c r="I838">
        <v>97.329133</v>
      </c>
      <c r="J838">
        <v>0</v>
      </c>
      <c r="K838" t="s">
        <v>1921</v>
      </c>
      <c r="L838">
        <v>1.069538861888373</v>
      </c>
      <c r="M838">
        <v>10.75</v>
      </c>
      <c r="N838">
        <v>2.52</v>
      </c>
    </row>
    <row r="839" spans="1:14">
      <c r="A839" s="1" t="s">
        <v>851</v>
      </c>
      <c r="B839">
        <f>HYPERLINK("https://www.suredividend.com/sure-analysis-research-database/","Immuneering Corp")</f>
        <v>0</v>
      </c>
      <c r="C839" t="s">
        <v>1921</v>
      </c>
      <c r="D839">
        <v>4.42</v>
      </c>
      <c r="E839">
        <v>0</v>
      </c>
      <c r="F839" t="s">
        <v>1921</v>
      </c>
      <c r="G839" t="s">
        <v>1921</v>
      </c>
      <c r="H839">
        <v>0</v>
      </c>
      <c r="I839">
        <v>116.708915</v>
      </c>
      <c r="J839">
        <v>0</v>
      </c>
      <c r="K839" t="s">
        <v>1921</v>
      </c>
      <c r="L839">
        <v>1.13473686292043</v>
      </c>
      <c r="M839">
        <v>16.17</v>
      </c>
      <c r="N839">
        <v>3.74</v>
      </c>
    </row>
    <row r="840" spans="1:14">
      <c r="A840" s="1" t="s">
        <v>852</v>
      </c>
      <c r="B840">
        <f>HYPERLINK("https://www.suredividend.com/sure-analysis-research-database/","Immunic Inc")</f>
        <v>0</v>
      </c>
      <c r="C840" t="s">
        <v>1922</v>
      </c>
      <c r="D840">
        <v>1.4</v>
      </c>
      <c r="E840">
        <v>0</v>
      </c>
      <c r="F840" t="s">
        <v>1921</v>
      </c>
      <c r="G840" t="s">
        <v>1921</v>
      </c>
      <c r="H840">
        <v>0</v>
      </c>
      <c r="I840">
        <v>62.101339</v>
      </c>
      <c r="J840">
        <v>0</v>
      </c>
      <c r="K840" t="s">
        <v>1921</v>
      </c>
      <c r="L840">
        <v>0.6941946304970991</v>
      </c>
      <c r="M840">
        <v>14.5</v>
      </c>
      <c r="N840">
        <v>1.11</v>
      </c>
    </row>
    <row r="841" spans="1:14">
      <c r="A841" s="1" t="s">
        <v>853</v>
      </c>
      <c r="B841">
        <f>HYPERLINK("https://www.suredividend.com/sure-analysis-research-database/","Immunovant Inc")</f>
        <v>0</v>
      </c>
      <c r="C841" t="s">
        <v>1922</v>
      </c>
      <c r="D841">
        <v>18.74</v>
      </c>
      <c r="E841">
        <v>0</v>
      </c>
      <c r="F841" t="s">
        <v>1921</v>
      </c>
      <c r="G841" t="s">
        <v>1921</v>
      </c>
      <c r="H841">
        <v>0</v>
      </c>
      <c r="I841">
        <v>2420.879132</v>
      </c>
      <c r="J841">
        <v>0</v>
      </c>
      <c r="K841" t="s">
        <v>1921</v>
      </c>
      <c r="L841">
        <v>1.28437551331275</v>
      </c>
      <c r="M841">
        <v>20.24</v>
      </c>
      <c r="N841">
        <v>3.15</v>
      </c>
    </row>
    <row r="842" spans="1:14">
      <c r="A842" s="1" t="s">
        <v>854</v>
      </c>
      <c r="B842">
        <f>HYPERLINK("https://www.suredividend.com/sure-analysis-research-database/","International Money Express Inc.")</f>
        <v>0</v>
      </c>
      <c r="C842" t="s">
        <v>1920</v>
      </c>
      <c r="D842">
        <v>22.85</v>
      </c>
      <c r="E842">
        <v>0</v>
      </c>
      <c r="F842" t="s">
        <v>1921</v>
      </c>
      <c r="G842" t="s">
        <v>1921</v>
      </c>
      <c r="H842">
        <v>0</v>
      </c>
      <c r="I842">
        <v>846.876708</v>
      </c>
      <c r="J842">
        <v>0</v>
      </c>
      <c r="K842" t="s">
        <v>1921</v>
      </c>
      <c r="L842">
        <v>0.658864813787944</v>
      </c>
      <c r="M842">
        <v>27.81</v>
      </c>
      <c r="N842">
        <v>15.07</v>
      </c>
    </row>
    <row r="843" spans="1:14">
      <c r="A843" s="1" t="s">
        <v>855</v>
      </c>
      <c r="B843">
        <f>HYPERLINK("https://www.suredividend.com/sure-analysis-research-database/","First Internet Bancorp")</f>
        <v>0</v>
      </c>
      <c r="C843" t="s">
        <v>1923</v>
      </c>
      <c r="D843">
        <v>24.39</v>
      </c>
      <c r="E843">
        <v>0.009809071082635</v>
      </c>
      <c r="F843">
        <v>0</v>
      </c>
      <c r="G843">
        <v>0</v>
      </c>
      <c r="H843">
        <v>0.239243243705482</v>
      </c>
      <c r="I843">
        <v>225.367283</v>
      </c>
      <c r="J843">
        <v>0</v>
      </c>
      <c r="K843" t="s">
        <v>1921</v>
      </c>
      <c r="L843">
        <v>0.9425247337390651</v>
      </c>
      <c r="M843">
        <v>53.18</v>
      </c>
      <c r="N843">
        <v>21.95</v>
      </c>
    </row>
    <row r="844" spans="1:14">
      <c r="A844" s="1" t="s">
        <v>856</v>
      </c>
      <c r="B844">
        <f>HYPERLINK("https://www.suredividend.com/sure-analysis-research-database/","Inhibrx Inc")</f>
        <v>0</v>
      </c>
      <c r="C844" t="s">
        <v>1921</v>
      </c>
      <c r="D844">
        <v>23.03</v>
      </c>
      <c r="E844">
        <v>0</v>
      </c>
      <c r="F844" t="s">
        <v>1921</v>
      </c>
      <c r="G844" t="s">
        <v>1921</v>
      </c>
      <c r="H844">
        <v>0</v>
      </c>
      <c r="I844">
        <v>1002.989249</v>
      </c>
      <c r="J844">
        <v>0</v>
      </c>
      <c r="K844" t="s">
        <v>1921</v>
      </c>
      <c r="L844">
        <v>2.153248167712315</v>
      </c>
      <c r="M844">
        <v>35.28</v>
      </c>
      <c r="N844">
        <v>7.67</v>
      </c>
    </row>
    <row r="845" spans="1:14">
      <c r="A845" s="1" t="s">
        <v>857</v>
      </c>
      <c r="B845">
        <f>HYPERLINK("https://www.suredividend.com/sure-analysis-research-database/","Independent Bank Corp.")</f>
        <v>0</v>
      </c>
      <c r="C845" t="s">
        <v>1923</v>
      </c>
      <c r="D845">
        <v>79.38</v>
      </c>
      <c r="E845">
        <v>0.025953538261988</v>
      </c>
      <c r="F845">
        <v>0.1458333333333335</v>
      </c>
      <c r="G845">
        <v>0.07675232594309245</v>
      </c>
      <c r="H845">
        <v>2.060191867236661</v>
      </c>
      <c r="I845">
        <v>3623.081408</v>
      </c>
      <c r="J845">
        <v>19.22344649656182</v>
      </c>
      <c r="K845">
        <v>0.4928688677599667</v>
      </c>
      <c r="L845">
        <v>0.5834083366983061</v>
      </c>
      <c r="M845">
        <v>91.05</v>
      </c>
      <c r="N845">
        <v>73.17</v>
      </c>
    </row>
    <row r="846" spans="1:14">
      <c r="A846" s="1" t="s">
        <v>858</v>
      </c>
      <c r="B846">
        <f>HYPERLINK("https://www.suredividend.com/sure-analysis-research-database/","INDUS Realty Trust Inc")</f>
        <v>0</v>
      </c>
      <c r="C846" t="s">
        <v>1921</v>
      </c>
      <c r="D846">
        <v>63.54</v>
      </c>
      <c r="E846">
        <v>0.010343646227556</v>
      </c>
      <c r="F846" t="s">
        <v>1921</v>
      </c>
      <c r="G846" t="s">
        <v>1921</v>
      </c>
      <c r="H846">
        <v>0.657235281298969</v>
      </c>
      <c r="I846">
        <v>647.626113</v>
      </c>
      <c r="J846">
        <v>27.19175851870513</v>
      </c>
      <c r="K846">
        <v>0.2882610882890215</v>
      </c>
      <c r="L846">
        <v>0.490636001768843</v>
      </c>
      <c r="M846">
        <v>79.70999999999999</v>
      </c>
      <c r="N846">
        <v>48.19</v>
      </c>
    </row>
    <row r="847" spans="1:14">
      <c r="A847" s="1" t="s">
        <v>859</v>
      </c>
      <c r="B847">
        <f>HYPERLINK("https://www.suredividend.com/sure-analysis-research-database/","Infinity Pharmaceuticals Inc.")</f>
        <v>0</v>
      </c>
      <c r="C847" t="s">
        <v>1922</v>
      </c>
      <c r="D847">
        <v>0.6254000000000001</v>
      </c>
      <c r="E847">
        <v>0</v>
      </c>
      <c r="F847" t="s">
        <v>1921</v>
      </c>
      <c r="G847" t="s">
        <v>1921</v>
      </c>
      <c r="H847">
        <v>0</v>
      </c>
      <c r="I847">
        <v>55.834382</v>
      </c>
      <c r="J847" t="s">
        <v>1921</v>
      </c>
      <c r="K847">
        <v>-0</v>
      </c>
      <c r="L847">
        <v>1.794645099137237</v>
      </c>
      <c r="M847">
        <v>1.76</v>
      </c>
      <c r="N847">
        <v>0.4441</v>
      </c>
    </row>
    <row r="848" spans="1:14">
      <c r="A848" s="1" t="s">
        <v>860</v>
      </c>
      <c r="B848">
        <f>HYPERLINK("https://www.suredividend.com/sure-analysis-research-database/","Infinera Corp.")</f>
        <v>0</v>
      </c>
      <c r="C848" t="s">
        <v>1920</v>
      </c>
      <c r="D848">
        <v>7.1</v>
      </c>
      <c r="E848">
        <v>0</v>
      </c>
      <c r="F848" t="s">
        <v>1921</v>
      </c>
      <c r="G848" t="s">
        <v>1921</v>
      </c>
      <c r="H848">
        <v>0</v>
      </c>
      <c r="I848">
        <v>1560.1812</v>
      </c>
      <c r="J848" t="s">
        <v>1921</v>
      </c>
      <c r="K848">
        <v>-0</v>
      </c>
      <c r="L848">
        <v>1.348323452987428</v>
      </c>
      <c r="M848">
        <v>9.539999999999999</v>
      </c>
      <c r="N848">
        <v>4.26</v>
      </c>
    </row>
    <row r="849" spans="1:14">
      <c r="A849" s="1" t="s">
        <v>861</v>
      </c>
      <c r="B849">
        <f>HYPERLINK("https://www.suredividend.com/sure-analysis-research-database/","InfuSystem Holdings Inc")</f>
        <v>0</v>
      </c>
      <c r="C849" t="s">
        <v>1922</v>
      </c>
      <c r="D849">
        <v>9.67</v>
      </c>
      <c r="E849">
        <v>0</v>
      </c>
      <c r="F849" t="s">
        <v>1921</v>
      </c>
      <c r="G849" t="s">
        <v>1921</v>
      </c>
      <c r="H849">
        <v>0</v>
      </c>
      <c r="I849">
        <v>199.747137</v>
      </c>
      <c r="J849">
        <v>0</v>
      </c>
      <c r="K849" t="s">
        <v>1921</v>
      </c>
      <c r="L849">
        <v>0.620038750956407</v>
      </c>
      <c r="M849">
        <v>16.47</v>
      </c>
      <c r="N849">
        <v>6.1</v>
      </c>
    </row>
    <row r="850" spans="1:14">
      <c r="A850" s="1" t="s">
        <v>862</v>
      </c>
      <c r="B850">
        <f>HYPERLINK("https://www.suredividend.com/sure-analysis-research-database/","Inogen Inc")</f>
        <v>0</v>
      </c>
      <c r="C850" t="s">
        <v>1922</v>
      </c>
      <c r="D850">
        <v>21.47</v>
      </c>
      <c r="E850">
        <v>0</v>
      </c>
      <c r="F850" t="s">
        <v>1921</v>
      </c>
      <c r="G850" t="s">
        <v>1921</v>
      </c>
      <c r="H850">
        <v>0</v>
      </c>
      <c r="I850">
        <v>492.113913</v>
      </c>
      <c r="J850" t="s">
        <v>1921</v>
      </c>
      <c r="K850">
        <v>-0</v>
      </c>
      <c r="L850">
        <v>1.117062388879022</v>
      </c>
      <c r="M850">
        <v>36.3</v>
      </c>
      <c r="N850">
        <v>19.08</v>
      </c>
    </row>
    <row r="851" spans="1:14">
      <c r="A851" s="1" t="s">
        <v>863</v>
      </c>
      <c r="B851">
        <f>HYPERLINK("https://www.suredividend.com/sure-analysis-research-database/","Summit Hotel Properties Inc")</f>
        <v>0</v>
      </c>
      <c r="C851" t="s">
        <v>1929</v>
      </c>
      <c r="D851">
        <v>7.34</v>
      </c>
      <c r="E851">
        <v>0.010872603396526</v>
      </c>
      <c r="F851" t="s">
        <v>1921</v>
      </c>
      <c r="G851" t="s">
        <v>1921</v>
      </c>
      <c r="H851">
        <v>0.079804908930506</v>
      </c>
      <c r="I851">
        <v>784.615994</v>
      </c>
      <c r="J851" t="s">
        <v>1921</v>
      </c>
      <c r="K851" t="s">
        <v>1921</v>
      </c>
      <c r="L851">
        <v>1.165986461860417</v>
      </c>
      <c r="M851">
        <v>10.48</v>
      </c>
      <c r="N851">
        <v>6.54</v>
      </c>
    </row>
    <row r="852" spans="1:14">
      <c r="A852" s="1" t="s">
        <v>864</v>
      </c>
      <c r="B852">
        <f>HYPERLINK("https://www.suredividend.com/sure-analysis-research-database/","InnovAge Holding Corp")</f>
        <v>0</v>
      </c>
      <c r="C852" t="s">
        <v>1921</v>
      </c>
      <c r="D852">
        <v>7.54</v>
      </c>
      <c r="E852">
        <v>0</v>
      </c>
      <c r="F852" t="s">
        <v>1921</v>
      </c>
      <c r="G852" t="s">
        <v>1921</v>
      </c>
      <c r="H852">
        <v>0</v>
      </c>
      <c r="I852">
        <v>1022.19786</v>
      </c>
      <c r="J852">
        <v>0</v>
      </c>
      <c r="K852" t="s">
        <v>1921</v>
      </c>
      <c r="L852">
        <v>1.347102913745958</v>
      </c>
      <c r="M852">
        <v>7.85</v>
      </c>
      <c r="N852">
        <v>3.39</v>
      </c>
    </row>
    <row r="853" spans="1:14">
      <c r="A853" s="1" t="s">
        <v>865</v>
      </c>
      <c r="B853">
        <f>HYPERLINK("https://www.suredividend.com/sure-analysis-research-database/","Inovio Pharmaceuticals Inc")</f>
        <v>0</v>
      </c>
      <c r="C853" t="s">
        <v>1922</v>
      </c>
      <c r="D853">
        <v>1.59</v>
      </c>
      <c r="E853">
        <v>0</v>
      </c>
      <c r="F853" t="s">
        <v>1921</v>
      </c>
      <c r="G853" t="s">
        <v>1921</v>
      </c>
      <c r="H853">
        <v>0</v>
      </c>
      <c r="I853">
        <v>396.68793</v>
      </c>
      <c r="J853" t="s">
        <v>1921</v>
      </c>
      <c r="K853">
        <v>-0</v>
      </c>
      <c r="L853">
        <v>2.10257217600426</v>
      </c>
      <c r="M853">
        <v>4.99</v>
      </c>
      <c r="N853">
        <v>1.38</v>
      </c>
    </row>
    <row r="854" spans="1:14">
      <c r="A854" s="1" t="s">
        <v>866</v>
      </c>
      <c r="B854">
        <f>HYPERLINK("https://www.suredividend.com/sure-analysis-research-database/","Inseego Corp")</f>
        <v>0</v>
      </c>
      <c r="C854" t="s">
        <v>1920</v>
      </c>
      <c r="D854">
        <v>1.01</v>
      </c>
      <c r="E854">
        <v>0</v>
      </c>
      <c r="F854" t="s">
        <v>1921</v>
      </c>
      <c r="G854" t="s">
        <v>1921</v>
      </c>
      <c r="H854">
        <v>0</v>
      </c>
      <c r="I854">
        <v>108.928162</v>
      </c>
      <c r="J854" t="s">
        <v>1921</v>
      </c>
      <c r="K854">
        <v>-0</v>
      </c>
      <c r="L854">
        <v>1.818042496429923</v>
      </c>
      <c r="M854">
        <v>5.56</v>
      </c>
      <c r="N854">
        <v>0.75</v>
      </c>
    </row>
    <row r="855" spans="1:14">
      <c r="A855" s="1" t="s">
        <v>867</v>
      </c>
      <c r="B855">
        <f>HYPERLINK("https://www.suredividend.com/sure-analysis-research-database/","Insmed Inc")</f>
        <v>0</v>
      </c>
      <c r="C855" t="s">
        <v>1922</v>
      </c>
      <c r="D855">
        <v>17.79</v>
      </c>
      <c r="E855">
        <v>0</v>
      </c>
      <c r="F855" t="s">
        <v>1921</v>
      </c>
      <c r="G855" t="s">
        <v>1921</v>
      </c>
      <c r="H855">
        <v>0</v>
      </c>
      <c r="I855">
        <v>2410.132432</v>
      </c>
      <c r="J855" t="s">
        <v>1921</v>
      </c>
      <c r="K855">
        <v>-0</v>
      </c>
      <c r="L855">
        <v>1.231767761416873</v>
      </c>
      <c r="M855">
        <v>28.94</v>
      </c>
      <c r="N855">
        <v>16.41</v>
      </c>
    </row>
    <row r="856" spans="1:14">
      <c r="A856" s="1" t="s">
        <v>868</v>
      </c>
      <c r="B856">
        <f>HYPERLINK("https://www.suredividend.com/sure-analysis-research-database/","Inspire Medical Systems Inc")</f>
        <v>0</v>
      </c>
      <c r="C856" t="s">
        <v>1922</v>
      </c>
      <c r="D856">
        <v>243</v>
      </c>
      <c r="E856">
        <v>0</v>
      </c>
      <c r="F856" t="s">
        <v>1921</v>
      </c>
      <c r="G856" t="s">
        <v>1921</v>
      </c>
      <c r="H856">
        <v>0</v>
      </c>
      <c r="I856">
        <v>7020.850284</v>
      </c>
      <c r="J856" t="s">
        <v>1921</v>
      </c>
      <c r="K856">
        <v>-0</v>
      </c>
      <c r="L856">
        <v>1.529143387280586</v>
      </c>
      <c r="M856">
        <v>272.04</v>
      </c>
      <c r="N856">
        <v>142.74</v>
      </c>
    </row>
    <row r="857" spans="1:14">
      <c r="A857" s="1" t="s">
        <v>869</v>
      </c>
      <c r="B857">
        <f>HYPERLINK("https://www.suredividend.com/sure-analysis-research-database/","Instructure Holdings Inc")</f>
        <v>0</v>
      </c>
      <c r="C857" t="s">
        <v>1921</v>
      </c>
      <c r="D857">
        <v>24.4</v>
      </c>
      <c r="E857">
        <v>0</v>
      </c>
      <c r="F857" t="s">
        <v>1921</v>
      </c>
      <c r="G857" t="s">
        <v>1921</v>
      </c>
      <c r="H857">
        <v>0</v>
      </c>
      <c r="I857">
        <v>3477.072907</v>
      </c>
      <c r="J857">
        <v>0</v>
      </c>
      <c r="K857" t="s">
        <v>1921</v>
      </c>
      <c r="L857">
        <v>0.8292805651797801</v>
      </c>
      <c r="M857">
        <v>26.32</v>
      </c>
      <c r="N857">
        <v>15.68</v>
      </c>
    </row>
    <row r="858" spans="1:14">
      <c r="A858" s="1" t="s">
        <v>870</v>
      </c>
      <c r="B858">
        <f>HYPERLINK("https://www.suredividend.com/sure-analysis-research-database/","International Seaways Inc")</f>
        <v>0</v>
      </c>
      <c r="C858" t="s">
        <v>1924</v>
      </c>
      <c r="D858">
        <v>33.73</v>
      </c>
      <c r="E858">
        <v>0.012205157226133</v>
      </c>
      <c r="F858" t="s">
        <v>1921</v>
      </c>
      <c r="G858" t="s">
        <v>1921</v>
      </c>
      <c r="H858">
        <v>0.411679953237497</v>
      </c>
      <c r="I858">
        <v>1655.415039</v>
      </c>
      <c r="J858">
        <v>12.21979064840924</v>
      </c>
      <c r="K858">
        <v>0.151911421858855</v>
      </c>
      <c r="L858">
        <v>0.327331246975128</v>
      </c>
      <c r="M858">
        <v>46.94</v>
      </c>
      <c r="N858">
        <v>12.58</v>
      </c>
    </row>
    <row r="859" spans="1:14">
      <c r="A859" s="1" t="s">
        <v>871</v>
      </c>
      <c r="B859">
        <f>HYPERLINK("https://www.suredividend.com/sure-analysis-research-database/","World Fuel Services Corp.")</f>
        <v>0</v>
      </c>
      <c r="C859" t="s">
        <v>1926</v>
      </c>
      <c r="D859">
        <v>26.83</v>
      </c>
      <c r="E859">
        <v>0.019238863060782</v>
      </c>
      <c r="F859">
        <v>0.1666666666666667</v>
      </c>
      <c r="G859">
        <v>0.1846644525422441</v>
      </c>
      <c r="H859">
        <v>0.516178695920785</v>
      </c>
      <c r="I859">
        <v>1661.288809</v>
      </c>
      <c r="J859">
        <v>15.28324571370745</v>
      </c>
      <c r="K859">
        <v>0.2983691883935173</v>
      </c>
      <c r="L859">
        <v>0.7573330231844231</v>
      </c>
      <c r="M859">
        <v>28.7</v>
      </c>
      <c r="N859">
        <v>19.09</v>
      </c>
    </row>
    <row r="860" spans="1:14">
      <c r="A860" s="1" t="s">
        <v>872</v>
      </c>
      <c r="B860">
        <f>HYPERLINK("https://www.suredividend.com/sure-analysis-research-database/","Intapp Inc")</f>
        <v>0</v>
      </c>
      <c r="C860" t="s">
        <v>1921</v>
      </c>
      <c r="D860">
        <v>26.82</v>
      </c>
      <c r="E860">
        <v>0</v>
      </c>
      <c r="F860" t="s">
        <v>1921</v>
      </c>
      <c r="G860" t="s">
        <v>1921</v>
      </c>
      <c r="H860">
        <v>0</v>
      </c>
      <c r="I860">
        <v>1689.743973</v>
      </c>
      <c r="J860">
        <v>0</v>
      </c>
      <c r="K860" t="s">
        <v>1921</v>
      </c>
      <c r="L860">
        <v>1.235928661258083</v>
      </c>
      <c r="M860">
        <v>27.95</v>
      </c>
      <c r="N860">
        <v>13.52</v>
      </c>
    </row>
    <row r="861" spans="1:14">
      <c r="A861" s="1" t="s">
        <v>873</v>
      </c>
      <c r="B861">
        <f>HYPERLINK("https://www.suredividend.com/sure-analysis-research-database/","Innoviva Inc")</f>
        <v>0</v>
      </c>
      <c r="C861" t="s">
        <v>1922</v>
      </c>
      <c r="D861">
        <v>13.08</v>
      </c>
      <c r="E861">
        <v>0</v>
      </c>
      <c r="F861" t="s">
        <v>1921</v>
      </c>
      <c r="G861" t="s">
        <v>1921</v>
      </c>
      <c r="H861">
        <v>0</v>
      </c>
      <c r="I861">
        <v>912.76406</v>
      </c>
      <c r="J861">
        <v>3.119707634834917</v>
      </c>
      <c r="K861">
        <v>0</v>
      </c>
      <c r="L861">
        <v>0.49924555852547</v>
      </c>
      <c r="M861">
        <v>20.71</v>
      </c>
      <c r="N861">
        <v>11.57</v>
      </c>
    </row>
    <row r="862" spans="1:14">
      <c r="A862" s="1" t="s">
        <v>874</v>
      </c>
      <c r="B862">
        <f>HYPERLINK("https://www.suredividend.com/sure-analysis-research-database/","Identiv Inc")</f>
        <v>0</v>
      </c>
      <c r="C862" t="s">
        <v>1920</v>
      </c>
      <c r="D862">
        <v>7.39</v>
      </c>
      <c r="E862">
        <v>0</v>
      </c>
      <c r="F862" t="s">
        <v>1921</v>
      </c>
      <c r="G862" t="s">
        <v>1921</v>
      </c>
      <c r="H862">
        <v>0</v>
      </c>
      <c r="I862">
        <v>166.372023</v>
      </c>
      <c r="J862" t="s">
        <v>1921</v>
      </c>
      <c r="K862">
        <v>-0</v>
      </c>
      <c r="L862">
        <v>1.376639347252417</v>
      </c>
      <c r="M862">
        <v>24</v>
      </c>
      <c r="N862">
        <v>6.46</v>
      </c>
    </row>
    <row r="863" spans="1:14">
      <c r="A863" s="1" t="s">
        <v>875</v>
      </c>
      <c r="B863">
        <f>HYPERLINK("https://www.suredividend.com/sure-analysis-research-database/","Inozyme Pharma Inc")</f>
        <v>0</v>
      </c>
      <c r="C863" t="s">
        <v>1921</v>
      </c>
      <c r="D863">
        <v>1.68</v>
      </c>
      <c r="E863">
        <v>0</v>
      </c>
      <c r="F863" t="s">
        <v>1921</v>
      </c>
      <c r="G863" t="s">
        <v>1921</v>
      </c>
      <c r="H863">
        <v>0</v>
      </c>
      <c r="I863">
        <v>67.86253000000001</v>
      </c>
      <c r="J863">
        <v>0</v>
      </c>
      <c r="K863" t="s">
        <v>1921</v>
      </c>
      <c r="L863">
        <v>0.363758910230578</v>
      </c>
      <c r="M863">
        <v>7.98</v>
      </c>
      <c r="N863">
        <v>0.991</v>
      </c>
    </row>
    <row r="864" spans="1:14">
      <c r="A864" s="1" t="s">
        <v>876</v>
      </c>
      <c r="B864">
        <f>HYPERLINK("https://www.suredividend.com/sure-analysis-research-database/","Innospec Inc")</f>
        <v>0</v>
      </c>
      <c r="C864" t="s">
        <v>1925</v>
      </c>
      <c r="D864">
        <v>104.33</v>
      </c>
      <c r="E864">
        <v>0.012233189098022</v>
      </c>
      <c r="F864" t="s">
        <v>1921</v>
      </c>
      <c r="G864" t="s">
        <v>1921</v>
      </c>
      <c r="H864">
        <v>1.276288618596651</v>
      </c>
      <c r="I864">
        <v>2583.719096</v>
      </c>
      <c r="J864">
        <v>19.66300681704719</v>
      </c>
      <c r="K864">
        <v>0.2421800035287763</v>
      </c>
      <c r="L864">
        <v>0.7396015962933301</v>
      </c>
      <c r="M864">
        <v>115.66</v>
      </c>
      <c r="N864">
        <v>82.64</v>
      </c>
    </row>
    <row r="865" spans="1:14">
      <c r="A865" s="1" t="s">
        <v>877</v>
      </c>
      <c r="B865">
        <f>HYPERLINK("https://www.suredividend.com/sure-analysis-IPAR/","Inter Parfums, Inc.")</f>
        <v>0</v>
      </c>
      <c r="C865" t="s">
        <v>1928</v>
      </c>
      <c r="D865">
        <v>110.57</v>
      </c>
      <c r="E865">
        <v>0.01808808899339785</v>
      </c>
      <c r="F865" t="s">
        <v>1921</v>
      </c>
      <c r="G865" t="s">
        <v>1921</v>
      </c>
      <c r="H865">
        <v>1.982146912727636</v>
      </c>
      <c r="I865">
        <v>3524.487856</v>
      </c>
      <c r="J865">
        <v>34.18016637977016</v>
      </c>
      <c r="K865">
        <v>0.6136677748382774</v>
      </c>
      <c r="L865">
        <v>0.9487315893013251</v>
      </c>
      <c r="M865">
        <v>111.69</v>
      </c>
      <c r="N865">
        <v>63.77</v>
      </c>
    </row>
    <row r="866" spans="1:14">
      <c r="A866" s="1" t="s">
        <v>878</v>
      </c>
      <c r="B866">
        <f>HYPERLINK("https://www.suredividend.com/sure-analysis-research-database/","Intrepid Potash Inc")</f>
        <v>0</v>
      </c>
      <c r="C866" t="s">
        <v>1925</v>
      </c>
      <c r="D866">
        <v>30.91</v>
      </c>
      <c r="E866">
        <v>0</v>
      </c>
      <c r="F866" t="s">
        <v>1921</v>
      </c>
      <c r="G866" t="s">
        <v>1921</v>
      </c>
      <c r="H866">
        <v>0</v>
      </c>
      <c r="I866">
        <v>416.943321</v>
      </c>
      <c r="J866">
        <v>1.427404136474277</v>
      </c>
      <c r="K866">
        <v>0</v>
      </c>
      <c r="L866">
        <v>1.279558949469299</v>
      </c>
      <c r="M866">
        <v>121.72</v>
      </c>
      <c r="N866">
        <v>27.23</v>
      </c>
    </row>
    <row r="867" spans="1:14">
      <c r="A867" s="1" t="s">
        <v>879</v>
      </c>
      <c r="B867">
        <f>HYPERLINK("https://www.suredividend.com/sure-analysis-research-database/","Century Therapeutics Inc")</f>
        <v>0</v>
      </c>
      <c r="C867" t="s">
        <v>1921</v>
      </c>
      <c r="D867">
        <v>4.78</v>
      </c>
      <c r="E867">
        <v>0</v>
      </c>
      <c r="F867" t="s">
        <v>1921</v>
      </c>
      <c r="G867" t="s">
        <v>1921</v>
      </c>
      <c r="H867">
        <v>0</v>
      </c>
      <c r="I867">
        <v>281.896901</v>
      </c>
      <c r="J867">
        <v>0</v>
      </c>
      <c r="K867" t="s">
        <v>1921</v>
      </c>
      <c r="L867">
        <v>1.21045500281986</v>
      </c>
      <c r="M867">
        <v>16.1</v>
      </c>
      <c r="N867">
        <v>4.69</v>
      </c>
    </row>
    <row r="868" spans="1:14">
      <c r="A868" s="1" t="s">
        <v>880</v>
      </c>
      <c r="B868">
        <f>HYPERLINK("https://www.suredividend.com/sure-analysis-research-database/","Irobot Corp")</f>
        <v>0</v>
      </c>
      <c r="C868" t="s">
        <v>1920</v>
      </c>
      <c r="D868">
        <v>48.33</v>
      </c>
      <c r="E868">
        <v>0</v>
      </c>
      <c r="F868" t="s">
        <v>1921</v>
      </c>
      <c r="G868" t="s">
        <v>1921</v>
      </c>
      <c r="H868">
        <v>0</v>
      </c>
      <c r="I868">
        <v>1321.895095</v>
      </c>
      <c r="J868" t="s">
        <v>1921</v>
      </c>
      <c r="K868">
        <v>-0</v>
      </c>
      <c r="L868">
        <v>0.93351201364529</v>
      </c>
      <c r="M868">
        <v>73.77</v>
      </c>
      <c r="N868">
        <v>35.41</v>
      </c>
    </row>
    <row r="869" spans="1:14">
      <c r="A869" s="1" t="s">
        <v>881</v>
      </c>
      <c r="B869">
        <f>HYPERLINK("https://www.suredividend.com/sure-analysis-research-database/","Iridium Communications Inc")</f>
        <v>0</v>
      </c>
      <c r="C869" t="s">
        <v>1931</v>
      </c>
      <c r="D869">
        <v>59.26</v>
      </c>
      <c r="E869">
        <v>0</v>
      </c>
      <c r="F869" t="s">
        <v>1921</v>
      </c>
      <c r="G869" t="s">
        <v>1921</v>
      </c>
      <c r="H869">
        <v>0</v>
      </c>
      <c r="I869">
        <v>7445.576624</v>
      </c>
      <c r="J869">
        <v>2042.12194846407</v>
      </c>
      <c r="K869">
        <v>0</v>
      </c>
      <c r="L869">
        <v>0.944299290497403</v>
      </c>
      <c r="M869">
        <v>60.2</v>
      </c>
      <c r="N869">
        <v>31.73</v>
      </c>
    </row>
    <row r="870" spans="1:14">
      <c r="A870" s="1" t="s">
        <v>882</v>
      </c>
      <c r="B870">
        <f>HYPERLINK("https://www.suredividend.com/sure-analysis-research-database/","Iradimed Corp")</f>
        <v>0</v>
      </c>
      <c r="C870" t="s">
        <v>1922</v>
      </c>
      <c r="D870">
        <v>30.15</v>
      </c>
      <c r="E870">
        <v>0</v>
      </c>
      <c r="F870" t="s">
        <v>1921</v>
      </c>
      <c r="G870" t="s">
        <v>1921</v>
      </c>
      <c r="H870">
        <v>0</v>
      </c>
      <c r="I870">
        <v>378.87503</v>
      </c>
      <c r="J870">
        <v>0</v>
      </c>
      <c r="K870" t="s">
        <v>1921</v>
      </c>
      <c r="L870">
        <v>1.045339543249329</v>
      </c>
      <c r="M870">
        <v>55.92</v>
      </c>
      <c r="N870">
        <v>26</v>
      </c>
    </row>
    <row r="871" spans="1:14">
      <c r="A871" s="1" t="s">
        <v>883</v>
      </c>
      <c r="B871">
        <f>HYPERLINK("https://www.suredividend.com/sure-analysis-IRT/","Independence Realty Trust Inc")</f>
        <v>0</v>
      </c>
      <c r="C871" t="s">
        <v>1929</v>
      </c>
      <c r="D871">
        <v>16.44</v>
      </c>
      <c r="E871">
        <v>0.0340632603406326</v>
      </c>
      <c r="F871">
        <v>0.1666666666666667</v>
      </c>
      <c r="G871">
        <v>-0.04902060720441037</v>
      </c>
      <c r="H871">
        <v>0.533729962619872</v>
      </c>
      <c r="I871">
        <v>3683.783185</v>
      </c>
      <c r="J871">
        <v>0</v>
      </c>
      <c r="K871" t="s">
        <v>1921</v>
      </c>
      <c r="L871">
        <v>0.810451779114272</v>
      </c>
      <c r="M871">
        <v>27.76</v>
      </c>
      <c r="N871">
        <v>14.91</v>
      </c>
    </row>
    <row r="872" spans="1:14">
      <c r="A872" s="1" t="s">
        <v>884</v>
      </c>
      <c r="B872">
        <f>HYPERLINK("https://www.suredividend.com/sure-analysis-research-database/","iRhythm Technologies Inc")</f>
        <v>0</v>
      </c>
      <c r="C872" t="s">
        <v>1922</v>
      </c>
      <c r="D872">
        <v>87.83</v>
      </c>
      <c r="E872">
        <v>0</v>
      </c>
      <c r="F872" t="s">
        <v>1921</v>
      </c>
      <c r="G872" t="s">
        <v>1921</v>
      </c>
      <c r="H872">
        <v>0</v>
      </c>
      <c r="I872">
        <v>2644.638415</v>
      </c>
      <c r="J872" t="s">
        <v>1921</v>
      </c>
      <c r="K872">
        <v>-0</v>
      </c>
      <c r="L872">
        <v>1.582430173654488</v>
      </c>
      <c r="M872">
        <v>169.54</v>
      </c>
      <c r="N872">
        <v>85.73999999999999</v>
      </c>
    </row>
    <row r="873" spans="1:14">
      <c r="A873" s="1" t="s">
        <v>885</v>
      </c>
      <c r="B873">
        <f>HYPERLINK("https://www.suredividend.com/sure-analysis-research-database/","Ironwood Pharmaceuticals Inc")</f>
        <v>0</v>
      </c>
      <c r="C873" t="s">
        <v>1922</v>
      </c>
      <c r="D873">
        <v>11.18</v>
      </c>
      <c r="E873">
        <v>0</v>
      </c>
      <c r="F873" t="s">
        <v>1921</v>
      </c>
      <c r="G873" t="s">
        <v>1921</v>
      </c>
      <c r="H873">
        <v>0</v>
      </c>
      <c r="I873">
        <v>1714.961433</v>
      </c>
      <c r="J873">
        <v>10.23417655013964</v>
      </c>
      <c r="K873">
        <v>0</v>
      </c>
      <c r="L873">
        <v>0.521317501329266</v>
      </c>
      <c r="M873">
        <v>12.95</v>
      </c>
      <c r="N873">
        <v>9.73</v>
      </c>
    </row>
    <row r="874" spans="1:14">
      <c r="A874" s="1" t="s">
        <v>886</v>
      </c>
      <c r="B874">
        <f>HYPERLINK("https://www.suredividend.com/sure-analysis-research-database/","IVERIC bio Inc")</f>
        <v>0</v>
      </c>
      <c r="C874" t="s">
        <v>1922</v>
      </c>
      <c r="D874">
        <v>18.97</v>
      </c>
      <c r="E874">
        <v>0</v>
      </c>
      <c r="F874" t="s">
        <v>1921</v>
      </c>
      <c r="G874" t="s">
        <v>1921</v>
      </c>
      <c r="H874">
        <v>0</v>
      </c>
      <c r="I874">
        <v>2290.121817</v>
      </c>
      <c r="J874">
        <v>0</v>
      </c>
      <c r="K874" t="s">
        <v>1921</v>
      </c>
      <c r="L874">
        <v>1.344325080513675</v>
      </c>
      <c r="M874">
        <v>24.33</v>
      </c>
      <c r="N874">
        <v>8.85</v>
      </c>
    </row>
    <row r="875" spans="1:14">
      <c r="A875" s="1" t="s">
        <v>887</v>
      </c>
      <c r="B875">
        <f>HYPERLINK("https://www.suredividend.com/sure-analysis-research-database/","IsoPlexis Corp")</f>
        <v>0</v>
      </c>
      <c r="C875" t="s">
        <v>1921</v>
      </c>
      <c r="D875">
        <v>1.55</v>
      </c>
      <c r="E875">
        <v>0</v>
      </c>
      <c r="F875" t="s">
        <v>1921</v>
      </c>
      <c r="G875" t="s">
        <v>1921</v>
      </c>
      <c r="H875">
        <v>0</v>
      </c>
      <c r="I875">
        <v>61.342783</v>
      </c>
      <c r="J875">
        <v>0</v>
      </c>
      <c r="K875" t="s">
        <v>1921</v>
      </c>
      <c r="L875">
        <v>0.326870593083997</v>
      </c>
      <c r="M875">
        <v>9.27</v>
      </c>
      <c r="N875">
        <v>0.6017</v>
      </c>
    </row>
    <row r="876" spans="1:14">
      <c r="A876" s="1" t="s">
        <v>888</v>
      </c>
      <c r="B876">
        <f>HYPERLINK("https://www.suredividend.com/sure-analysis-research-database/","Intra-Cellular Therapies Inc")</f>
        <v>0</v>
      </c>
      <c r="C876" t="s">
        <v>1922</v>
      </c>
      <c r="D876">
        <v>50.79</v>
      </c>
      <c r="E876">
        <v>0</v>
      </c>
      <c r="F876" t="s">
        <v>1921</v>
      </c>
      <c r="G876" t="s">
        <v>1921</v>
      </c>
      <c r="H876">
        <v>0</v>
      </c>
      <c r="I876">
        <v>4810.069693</v>
      </c>
      <c r="J876">
        <v>0</v>
      </c>
      <c r="K876" t="s">
        <v>1921</v>
      </c>
      <c r="L876">
        <v>0.684652357114075</v>
      </c>
      <c r="M876">
        <v>66</v>
      </c>
      <c r="N876">
        <v>38.51</v>
      </c>
    </row>
    <row r="877" spans="1:14">
      <c r="A877" s="1" t="s">
        <v>889</v>
      </c>
      <c r="B877">
        <f>HYPERLINK("https://www.suredividend.com/sure-analysis-research-database/","Integer Holdings Corp")</f>
        <v>0</v>
      </c>
      <c r="C877" t="s">
        <v>1922</v>
      </c>
      <c r="D877">
        <v>69.55</v>
      </c>
      <c r="E877">
        <v>0</v>
      </c>
      <c r="F877" t="s">
        <v>1921</v>
      </c>
      <c r="G877" t="s">
        <v>1921</v>
      </c>
      <c r="H877">
        <v>0</v>
      </c>
      <c r="I877">
        <v>2304.260563</v>
      </c>
      <c r="J877">
        <v>31.9818535045594</v>
      </c>
      <c r="K877">
        <v>0</v>
      </c>
      <c r="L877">
        <v>0.9915087634670601</v>
      </c>
      <c r="M877">
        <v>88.58</v>
      </c>
      <c r="N877">
        <v>50.05</v>
      </c>
    </row>
    <row r="878" spans="1:14">
      <c r="A878" s="1" t="s">
        <v>890</v>
      </c>
      <c r="B878">
        <f>HYPERLINK("https://www.suredividend.com/sure-analysis-research-database/","Iteris Inc.")</f>
        <v>0</v>
      </c>
      <c r="C878" t="s">
        <v>1920</v>
      </c>
      <c r="D878">
        <v>3.5</v>
      </c>
      <c r="E878">
        <v>0</v>
      </c>
      <c r="F878" t="s">
        <v>1921</v>
      </c>
      <c r="G878" t="s">
        <v>1921</v>
      </c>
      <c r="H878">
        <v>0</v>
      </c>
      <c r="I878">
        <v>149.236924</v>
      </c>
      <c r="J878">
        <v>0</v>
      </c>
      <c r="K878" t="s">
        <v>1921</v>
      </c>
      <c r="L878">
        <v>0.9513644669861561</v>
      </c>
      <c r="M878">
        <v>4.28</v>
      </c>
      <c r="N878">
        <v>2.4</v>
      </c>
    </row>
    <row r="879" spans="1:14">
      <c r="A879" s="1" t="s">
        <v>891</v>
      </c>
      <c r="B879">
        <f>HYPERLINK("https://www.suredividend.com/sure-analysis-research-database/","Investors Title Co.")</f>
        <v>0</v>
      </c>
      <c r="C879" t="s">
        <v>1923</v>
      </c>
      <c r="D879">
        <v>148.7</v>
      </c>
      <c r="E879">
        <v>0.012164794644585</v>
      </c>
      <c r="F879">
        <v>5.521739130434782</v>
      </c>
      <c r="G879">
        <v>0.4962778697388448</v>
      </c>
      <c r="H879">
        <v>1.808904963649852</v>
      </c>
      <c r="I879">
        <v>282.081223</v>
      </c>
      <c r="J879">
        <v>0</v>
      </c>
      <c r="K879" t="s">
        <v>1921</v>
      </c>
      <c r="L879">
        <v>0.8284396606515481</v>
      </c>
      <c r="M879">
        <v>206.1</v>
      </c>
      <c r="N879">
        <v>123.34</v>
      </c>
    </row>
    <row r="880" spans="1:14">
      <c r="A880" s="1" t="s">
        <v>892</v>
      </c>
      <c r="B880">
        <f>HYPERLINK("https://www.suredividend.com/sure-analysis-research-database/","ITeos Therapeutics Inc")</f>
        <v>0</v>
      </c>
      <c r="C880" t="s">
        <v>1921</v>
      </c>
      <c r="D880">
        <v>18.09</v>
      </c>
      <c r="E880">
        <v>0</v>
      </c>
      <c r="F880" t="s">
        <v>1921</v>
      </c>
      <c r="G880" t="s">
        <v>1921</v>
      </c>
      <c r="H880">
        <v>0</v>
      </c>
      <c r="I880">
        <v>643.557593</v>
      </c>
      <c r="J880">
        <v>0</v>
      </c>
      <c r="K880" t="s">
        <v>1921</v>
      </c>
      <c r="L880">
        <v>1.193983596087271</v>
      </c>
      <c r="M880">
        <v>42.49</v>
      </c>
      <c r="N880">
        <v>16.21</v>
      </c>
    </row>
    <row r="881" spans="1:14">
      <c r="A881" s="1" t="s">
        <v>893</v>
      </c>
      <c r="B881">
        <f>HYPERLINK("https://www.suredividend.com/sure-analysis-research-database/","Itron Inc.")</f>
        <v>0</v>
      </c>
      <c r="C881" t="s">
        <v>1920</v>
      </c>
      <c r="D881">
        <v>53.65</v>
      </c>
      <c r="E881">
        <v>0</v>
      </c>
      <c r="F881" t="s">
        <v>1921</v>
      </c>
      <c r="G881" t="s">
        <v>1921</v>
      </c>
      <c r="H881">
        <v>0</v>
      </c>
      <c r="I881">
        <v>2423.799324</v>
      </c>
      <c r="J881" t="s">
        <v>1921</v>
      </c>
      <c r="K881">
        <v>-0</v>
      </c>
      <c r="L881">
        <v>1.381973998290286</v>
      </c>
      <c r="M881">
        <v>66.28</v>
      </c>
      <c r="N881">
        <v>39.38</v>
      </c>
    </row>
    <row r="882" spans="1:14">
      <c r="A882" s="1" t="s">
        <v>894</v>
      </c>
      <c r="B882">
        <f>HYPERLINK("https://www.suredividend.com/sure-analysis-research-database/","Invacare Corp.")</f>
        <v>0</v>
      </c>
      <c r="C882" t="s">
        <v>1922</v>
      </c>
      <c r="D882">
        <v>0.525</v>
      </c>
      <c r="E882">
        <v>0</v>
      </c>
      <c r="F882" t="s">
        <v>1921</v>
      </c>
      <c r="G882" t="s">
        <v>1921</v>
      </c>
      <c r="H882">
        <v>0</v>
      </c>
      <c r="I882">
        <v>19.821026</v>
      </c>
      <c r="J882" t="s">
        <v>1921</v>
      </c>
      <c r="K882">
        <v>-0</v>
      </c>
      <c r="L882">
        <v>0.8685986225854051</v>
      </c>
      <c r="M882">
        <v>2.85</v>
      </c>
      <c r="N882">
        <v>0.33</v>
      </c>
    </row>
    <row r="883" spans="1:14">
      <c r="A883" s="1" t="s">
        <v>895</v>
      </c>
      <c r="B883">
        <f>HYPERLINK("https://www.suredividend.com/sure-analysis-research-database/","Invesco Mortgage Capital Inc")</f>
        <v>0</v>
      </c>
      <c r="C883" t="s">
        <v>1929</v>
      </c>
      <c r="D883">
        <v>12.94</v>
      </c>
      <c r="E883">
        <v>0.219247879725045</v>
      </c>
      <c r="F883">
        <v>6.222222222222222</v>
      </c>
      <c r="G883">
        <v>0.09127150018383667</v>
      </c>
      <c r="H883">
        <v>2.837067563642083</v>
      </c>
      <c r="I883">
        <v>457.456472</v>
      </c>
      <c r="J883" t="s">
        <v>1921</v>
      </c>
      <c r="K883" t="s">
        <v>1921</v>
      </c>
      <c r="L883">
        <v>1.231213115342983</v>
      </c>
      <c r="M883">
        <v>23.7</v>
      </c>
      <c r="N883">
        <v>8.15</v>
      </c>
    </row>
    <row r="884" spans="1:14">
      <c r="A884" s="1" t="s">
        <v>896</v>
      </c>
      <c r="B884">
        <f>HYPERLINK("https://www.suredividend.com/sure-analysis-JACK/","Jack In The Box, Inc.")</f>
        <v>0</v>
      </c>
      <c r="C884" t="s">
        <v>1927</v>
      </c>
      <c r="D884">
        <v>73.11</v>
      </c>
      <c r="E884">
        <v>0.02407331418410614</v>
      </c>
      <c r="F884" t="s">
        <v>1921</v>
      </c>
      <c r="G884" t="s">
        <v>1921</v>
      </c>
      <c r="H884">
        <v>1.74460088430253</v>
      </c>
      <c r="I884">
        <v>1519.384668</v>
      </c>
      <c r="J884">
        <v>13.12291885568444</v>
      </c>
      <c r="K884">
        <v>0.3201102540004642</v>
      </c>
      <c r="L884">
        <v>0.8218840319976951</v>
      </c>
      <c r="M884">
        <v>94.65000000000001</v>
      </c>
      <c r="N884">
        <v>54.18</v>
      </c>
    </row>
    <row r="885" spans="1:14">
      <c r="A885" s="1" t="s">
        <v>897</v>
      </c>
      <c r="B885">
        <f>HYPERLINK("https://www.suredividend.com/sure-analysis-research-database/","Janux Therapeutics Inc")</f>
        <v>0</v>
      </c>
      <c r="C885" t="s">
        <v>1921</v>
      </c>
      <c r="D885">
        <v>14.25</v>
      </c>
      <c r="E885">
        <v>0</v>
      </c>
      <c r="F885" t="s">
        <v>1921</v>
      </c>
      <c r="G885" t="s">
        <v>1921</v>
      </c>
      <c r="H885">
        <v>0</v>
      </c>
      <c r="I885">
        <v>593.698163</v>
      </c>
      <c r="J885">
        <v>0</v>
      </c>
      <c r="K885" t="s">
        <v>1921</v>
      </c>
      <c r="L885">
        <v>1.423207580877678</v>
      </c>
      <c r="M885">
        <v>19.68</v>
      </c>
      <c r="N885">
        <v>9.390000000000001</v>
      </c>
    </row>
    <row r="886" spans="1:14">
      <c r="A886" s="1" t="s">
        <v>898</v>
      </c>
      <c r="B886">
        <f>HYPERLINK("https://www.suredividend.com/sure-analysis-research-database/","Sanfilippo (John B.) &amp; Son, Inc")</f>
        <v>0</v>
      </c>
      <c r="C886" t="s">
        <v>1928</v>
      </c>
      <c r="D886">
        <v>81.45</v>
      </c>
      <c r="E886">
        <v>0.009099376531136001</v>
      </c>
      <c r="F886" t="s">
        <v>1921</v>
      </c>
      <c r="G886" t="s">
        <v>1921</v>
      </c>
      <c r="H886">
        <v>0.7411442184611</v>
      </c>
      <c r="I886">
        <v>727.304436</v>
      </c>
      <c r="J886">
        <v>12.52181250193688</v>
      </c>
      <c r="K886">
        <v>0.1479329777367465</v>
      </c>
      <c r="L886">
        <v>0.359782260805602</v>
      </c>
      <c r="M886">
        <v>88.56999999999999</v>
      </c>
      <c r="N886">
        <v>65.56</v>
      </c>
    </row>
    <row r="887" spans="1:14">
      <c r="A887" s="1" t="s">
        <v>899</v>
      </c>
      <c r="B887">
        <f>HYPERLINK("https://www.suredividend.com/sure-analysis-research-database/","John Bean Technologies Corp")</f>
        <v>0</v>
      </c>
      <c r="C887" t="s">
        <v>1924</v>
      </c>
      <c r="D887">
        <v>97.40000000000001</v>
      </c>
      <c r="E887">
        <v>0.004100674946924</v>
      </c>
      <c r="F887">
        <v>0</v>
      </c>
      <c r="G887">
        <v>0</v>
      </c>
      <c r="H887">
        <v>0.39940573983044</v>
      </c>
      <c r="I887">
        <v>3103.007965</v>
      </c>
      <c r="J887">
        <v>24.863845875</v>
      </c>
      <c r="K887">
        <v>0.1037417506053091</v>
      </c>
      <c r="L887">
        <v>1.301093562245125</v>
      </c>
      <c r="M887">
        <v>153.68</v>
      </c>
      <c r="N887">
        <v>81.5</v>
      </c>
    </row>
    <row r="888" spans="1:14">
      <c r="A888" s="1" t="s">
        <v>900</v>
      </c>
      <c r="B888">
        <f>HYPERLINK("https://www.suredividend.com/sure-analysis-research-database/","JELD-WEN Holding Inc.")</f>
        <v>0</v>
      </c>
      <c r="C888" t="s">
        <v>1924</v>
      </c>
      <c r="D888">
        <v>11.01</v>
      </c>
      <c r="E888">
        <v>0</v>
      </c>
      <c r="F888" t="s">
        <v>1921</v>
      </c>
      <c r="G888" t="s">
        <v>1921</v>
      </c>
      <c r="H888">
        <v>0</v>
      </c>
      <c r="I888">
        <v>928.558705</v>
      </c>
      <c r="J888">
        <v>17.13492470281043</v>
      </c>
      <c r="K888">
        <v>0</v>
      </c>
      <c r="L888">
        <v>1.525339384440253</v>
      </c>
      <c r="M888">
        <v>26.1</v>
      </c>
      <c r="N888">
        <v>8.380000000000001</v>
      </c>
    </row>
    <row r="889" spans="1:14">
      <c r="A889" s="1" t="s">
        <v>901</v>
      </c>
      <c r="B889">
        <f>HYPERLINK("https://www.suredividend.com/sure-analysis-JJSF/","J&amp;J Snack Foods Corp.")</f>
        <v>0</v>
      </c>
      <c r="C889" t="s">
        <v>1928</v>
      </c>
      <c r="D889">
        <v>149.61</v>
      </c>
      <c r="E889">
        <v>0.01871532651560724</v>
      </c>
      <c r="F889">
        <v>0.1058451816745656</v>
      </c>
      <c r="G889">
        <v>0.09238846414037294</v>
      </c>
      <c r="H889">
        <v>2.647544598446039</v>
      </c>
      <c r="I889">
        <v>2876.900061</v>
      </c>
      <c r="J889">
        <v>60.90610905684345</v>
      </c>
      <c r="K889">
        <v>1.076237641644731</v>
      </c>
      <c r="L889">
        <v>0.413358964255823</v>
      </c>
      <c r="M889">
        <v>165.14</v>
      </c>
      <c r="N889">
        <v>115.74</v>
      </c>
    </row>
    <row r="890" spans="1:14">
      <c r="A890" s="1" t="s">
        <v>902</v>
      </c>
      <c r="B890">
        <f>HYPERLINK("https://www.suredividend.com/sure-analysis-research-database/","Jounce Therapeutics Inc")</f>
        <v>0</v>
      </c>
      <c r="C890" t="s">
        <v>1922</v>
      </c>
      <c r="D890">
        <v>1.07</v>
      </c>
      <c r="E890">
        <v>0</v>
      </c>
      <c r="F890" t="s">
        <v>1921</v>
      </c>
      <c r="G890" t="s">
        <v>1921</v>
      </c>
      <c r="H890">
        <v>0</v>
      </c>
      <c r="I890">
        <v>55.312834</v>
      </c>
      <c r="J890">
        <v>0</v>
      </c>
      <c r="K890" t="s">
        <v>1921</v>
      </c>
      <c r="L890">
        <v>0.726285729684338</v>
      </c>
      <c r="M890">
        <v>8.800000000000001</v>
      </c>
      <c r="N890">
        <v>0.5773</v>
      </c>
    </row>
    <row r="891" spans="1:14">
      <c r="A891" s="1" t="s">
        <v>903</v>
      </c>
      <c r="B891">
        <f>HYPERLINK("https://www.suredividend.com/sure-analysis-research-database/","JOANN Inc")</f>
        <v>0</v>
      </c>
      <c r="C891" t="s">
        <v>1921</v>
      </c>
      <c r="D891">
        <v>3.43</v>
      </c>
      <c r="E891">
        <v>0.094977603911317</v>
      </c>
      <c r="F891" t="s">
        <v>1921</v>
      </c>
      <c r="G891" t="s">
        <v>1921</v>
      </c>
      <c r="H891">
        <v>0.325773181415819</v>
      </c>
      <c r="I891">
        <v>139.899386</v>
      </c>
      <c r="J891">
        <v>0</v>
      </c>
      <c r="K891" t="s">
        <v>1921</v>
      </c>
      <c r="L891">
        <v>1.243171923457218</v>
      </c>
      <c r="M891">
        <v>13.08</v>
      </c>
      <c r="N891">
        <v>2.46</v>
      </c>
    </row>
    <row r="892" spans="1:14">
      <c r="A892" s="1" t="s">
        <v>904</v>
      </c>
      <c r="B892">
        <f>HYPERLINK("https://www.suredividend.com/sure-analysis-research-database/","St. Joe Co.")</f>
        <v>0</v>
      </c>
      <c r="C892" t="s">
        <v>1929</v>
      </c>
      <c r="D892">
        <v>40.22</v>
      </c>
      <c r="E892">
        <v>0.009907481966898</v>
      </c>
      <c r="F892" t="s">
        <v>1921</v>
      </c>
      <c r="G892" t="s">
        <v>1921</v>
      </c>
      <c r="H892">
        <v>0.398478924708661</v>
      </c>
      <c r="I892">
        <v>2346.255459</v>
      </c>
      <c r="J892">
        <v>31.39433276269485</v>
      </c>
      <c r="K892">
        <v>0.3137629328414654</v>
      </c>
      <c r="L892">
        <v>1.168111011536913</v>
      </c>
      <c r="M892">
        <v>61.76</v>
      </c>
      <c r="N892">
        <v>31.02</v>
      </c>
    </row>
    <row r="893" spans="1:14">
      <c r="A893" s="1" t="s">
        <v>905</v>
      </c>
      <c r="B893">
        <f>HYPERLINK("https://www.suredividend.com/sure-analysis-research-database/","Johnson Outdoors Inc")</f>
        <v>0</v>
      </c>
      <c r="C893" t="s">
        <v>1927</v>
      </c>
      <c r="D893">
        <v>67.11</v>
      </c>
      <c r="E893">
        <v>0.017884918779669</v>
      </c>
      <c r="F893">
        <v>0.03333333333333321</v>
      </c>
      <c r="G893">
        <v>0.2539272451403496</v>
      </c>
      <c r="H893">
        <v>1.200256899303644</v>
      </c>
      <c r="I893">
        <v>603.017576</v>
      </c>
      <c r="J893">
        <v>13.60691328609788</v>
      </c>
      <c r="K893">
        <v>0.2746583293601016</v>
      </c>
      <c r="L893">
        <v>0.9611176270199401</v>
      </c>
      <c r="M893">
        <v>90.41</v>
      </c>
      <c r="N893">
        <v>46.3</v>
      </c>
    </row>
    <row r="894" spans="1:14">
      <c r="A894" s="1" t="s">
        <v>906</v>
      </c>
      <c r="B894">
        <f>HYPERLINK("https://www.suredividend.com/sure-analysis-research-database/","James River Group Holdings Ltd")</f>
        <v>0</v>
      </c>
      <c r="C894" t="s">
        <v>1923</v>
      </c>
      <c r="D894">
        <v>21.13</v>
      </c>
      <c r="E894">
        <v>0.009435188204404001</v>
      </c>
      <c r="F894">
        <v>-0.8333333333333334</v>
      </c>
      <c r="G894">
        <v>-0.3011728812284208</v>
      </c>
      <c r="H894">
        <v>0.199365526759058</v>
      </c>
      <c r="I894">
        <v>791.530666</v>
      </c>
      <c r="J894" t="s">
        <v>1921</v>
      </c>
      <c r="K894" t="s">
        <v>1921</v>
      </c>
      <c r="L894">
        <v>0.6966067047277691</v>
      </c>
      <c r="M894">
        <v>29.27</v>
      </c>
      <c r="N894">
        <v>19.59</v>
      </c>
    </row>
    <row r="895" spans="1:14">
      <c r="A895" s="1" t="s">
        <v>907</v>
      </c>
      <c r="B895">
        <f>HYPERLINK("https://www.suredividend.com/sure-analysis-research-database/","Joint Corp")</f>
        <v>0</v>
      </c>
      <c r="C895" t="s">
        <v>1922</v>
      </c>
      <c r="D895">
        <v>15.13</v>
      </c>
      <c r="E895">
        <v>0</v>
      </c>
      <c r="F895" t="s">
        <v>1921</v>
      </c>
      <c r="G895" t="s">
        <v>1921</v>
      </c>
      <c r="H895">
        <v>0</v>
      </c>
      <c r="I895">
        <v>219.834043</v>
      </c>
      <c r="J895">
        <v>0</v>
      </c>
      <c r="K895" t="s">
        <v>1921</v>
      </c>
      <c r="L895">
        <v>1.65462696835638</v>
      </c>
      <c r="M895">
        <v>63</v>
      </c>
      <c r="N895">
        <v>12.85</v>
      </c>
    </row>
    <row r="896" spans="1:14">
      <c r="A896" s="1" t="s">
        <v>908</v>
      </c>
      <c r="B896">
        <f>HYPERLINK("https://www.suredividend.com/sure-analysis-research-database/","Kadant, Inc.")</f>
        <v>0</v>
      </c>
      <c r="C896" t="s">
        <v>1924</v>
      </c>
      <c r="D896">
        <v>183.51</v>
      </c>
      <c r="E896">
        <v>0.005654494603234</v>
      </c>
      <c r="F896">
        <v>0.04000000000000004</v>
      </c>
      <c r="G896">
        <v>0.03397522653195018</v>
      </c>
      <c r="H896">
        <v>1.037656304639517</v>
      </c>
      <c r="I896">
        <v>2140.38742</v>
      </c>
      <c r="J896">
        <v>17.98554206939146</v>
      </c>
      <c r="K896">
        <v>0.1018308444199722</v>
      </c>
      <c r="L896">
        <v>1.005537802686055</v>
      </c>
      <c r="M896">
        <v>219.37</v>
      </c>
      <c r="N896">
        <v>153.97</v>
      </c>
    </row>
    <row r="897" spans="1:14">
      <c r="A897" s="1" t="s">
        <v>909</v>
      </c>
      <c r="B897">
        <f>HYPERLINK("https://www.suredividend.com/sure-analysis-research-database/","Kala Pharmaceuticals Inc")</f>
        <v>0</v>
      </c>
      <c r="C897" t="s">
        <v>1922</v>
      </c>
      <c r="D897">
        <v>26</v>
      </c>
      <c r="E897">
        <v>0</v>
      </c>
      <c r="F897" t="s">
        <v>1921</v>
      </c>
      <c r="G897" t="s">
        <v>1921</v>
      </c>
      <c r="H897">
        <v>0</v>
      </c>
      <c r="I897">
        <v>39.479024</v>
      </c>
      <c r="J897">
        <v>0</v>
      </c>
      <c r="K897" t="s">
        <v>1921</v>
      </c>
      <c r="L897">
        <v>0.5947124528297311</v>
      </c>
      <c r="M897">
        <v>97</v>
      </c>
      <c r="N897">
        <v>3.54</v>
      </c>
    </row>
    <row r="898" spans="1:14">
      <c r="A898" s="1" t="s">
        <v>910</v>
      </c>
      <c r="B898">
        <f>HYPERLINK("https://www.suredividend.com/sure-analysis-KALU/","Kaiser Aluminum Corp")</f>
        <v>0</v>
      </c>
      <c r="C898" t="s">
        <v>1925</v>
      </c>
      <c r="D898">
        <v>84.78</v>
      </c>
      <c r="E898">
        <v>0.03632932295352678</v>
      </c>
      <c r="F898">
        <v>0.06944444444444442</v>
      </c>
      <c r="G898">
        <v>0.06961037572506878</v>
      </c>
      <c r="H898">
        <v>3.035062498040432</v>
      </c>
      <c r="I898">
        <v>1351.446188</v>
      </c>
      <c r="J898" t="s">
        <v>1921</v>
      </c>
      <c r="K898" t="s">
        <v>1921</v>
      </c>
      <c r="L898">
        <v>1.159572932930144</v>
      </c>
      <c r="M898">
        <v>105.21</v>
      </c>
      <c r="N898">
        <v>58.65</v>
      </c>
    </row>
    <row r="899" spans="1:14">
      <c r="A899" s="1" t="s">
        <v>911</v>
      </c>
      <c r="B899">
        <f>HYPERLINK("https://www.suredividend.com/sure-analysis-research-database/","KalVista Pharmaceuticals Inc")</f>
        <v>0</v>
      </c>
      <c r="C899" t="s">
        <v>1922</v>
      </c>
      <c r="D899">
        <v>6.6</v>
      </c>
      <c r="E899">
        <v>0</v>
      </c>
      <c r="F899" t="s">
        <v>1921</v>
      </c>
      <c r="G899" t="s">
        <v>1921</v>
      </c>
      <c r="H899">
        <v>0</v>
      </c>
      <c r="I899">
        <v>162.47979</v>
      </c>
      <c r="J899" t="s">
        <v>1921</v>
      </c>
      <c r="K899">
        <v>-0</v>
      </c>
      <c r="L899">
        <v>0.60908163091844</v>
      </c>
      <c r="M899">
        <v>17.35</v>
      </c>
      <c r="N899">
        <v>4.12</v>
      </c>
    </row>
    <row r="900" spans="1:14">
      <c r="A900" s="1" t="s">
        <v>912</v>
      </c>
      <c r="B900">
        <f>HYPERLINK("https://www.suredividend.com/sure-analysis-research-database/","Kaman Corp.")</f>
        <v>0</v>
      </c>
      <c r="C900" t="s">
        <v>1924</v>
      </c>
      <c r="D900">
        <v>22.8</v>
      </c>
      <c r="E900">
        <v>0.034666053559549</v>
      </c>
      <c r="F900">
        <v>0</v>
      </c>
      <c r="G900">
        <v>0</v>
      </c>
      <c r="H900">
        <v>0.790386021157734</v>
      </c>
      <c r="I900">
        <v>638.8308060000001</v>
      </c>
      <c r="J900">
        <v>35.71680677624958</v>
      </c>
      <c r="K900">
        <v>1.238655416326178</v>
      </c>
      <c r="L900">
        <v>1.092173021332799</v>
      </c>
      <c r="M900">
        <v>45.47</v>
      </c>
      <c r="N900">
        <v>18.7</v>
      </c>
    </row>
    <row r="901" spans="1:14">
      <c r="A901" s="1" t="s">
        <v>913</v>
      </c>
      <c r="B901">
        <f>HYPERLINK("https://www.suredividend.com/sure-analysis-research-database/","KAR Auction Services Inc")</f>
        <v>0</v>
      </c>
      <c r="C901" t="s">
        <v>1927</v>
      </c>
      <c r="D901">
        <v>12.56</v>
      </c>
      <c r="E901">
        <v>0</v>
      </c>
      <c r="F901" t="s">
        <v>1921</v>
      </c>
      <c r="G901" t="s">
        <v>1921</v>
      </c>
      <c r="H901">
        <v>0</v>
      </c>
      <c r="I901">
        <v>1367.882521</v>
      </c>
      <c r="J901" t="s">
        <v>1921</v>
      </c>
      <c r="K901">
        <v>-0</v>
      </c>
      <c r="L901">
        <v>1.21624034309823</v>
      </c>
      <c r="M901">
        <v>22.1</v>
      </c>
      <c r="N901">
        <v>11.15</v>
      </c>
    </row>
    <row r="902" spans="1:14">
      <c r="A902" s="1" t="s">
        <v>914</v>
      </c>
      <c r="B902">
        <f>HYPERLINK("https://www.suredividend.com/sure-analysis-research-database/","Kimball International, Inc.")</f>
        <v>0</v>
      </c>
      <c r="C902" t="s">
        <v>1927</v>
      </c>
      <c r="D902">
        <v>7.09</v>
      </c>
      <c r="E902">
        <v>0.04976863849751501</v>
      </c>
      <c r="F902">
        <v>0</v>
      </c>
      <c r="G902">
        <v>0.05154749679728043</v>
      </c>
      <c r="H902">
        <v>0.352859646947387</v>
      </c>
      <c r="I902">
        <v>259.488959</v>
      </c>
      <c r="J902" t="s">
        <v>1921</v>
      </c>
      <c r="K902" t="s">
        <v>1921</v>
      </c>
      <c r="L902">
        <v>0.9361542526324431</v>
      </c>
      <c r="M902">
        <v>10.32</v>
      </c>
      <c r="N902">
        <v>6.05</v>
      </c>
    </row>
    <row r="903" spans="1:14">
      <c r="A903" s="1" t="s">
        <v>915</v>
      </c>
      <c r="B903">
        <f>HYPERLINK("https://www.suredividend.com/sure-analysis-research-database/","KB Home")</f>
        <v>0</v>
      </c>
      <c r="C903" t="s">
        <v>1927</v>
      </c>
      <c r="D903">
        <v>34.41</v>
      </c>
      <c r="E903">
        <v>0.017305804489504</v>
      </c>
      <c r="F903">
        <v>0</v>
      </c>
      <c r="G903">
        <v>0.4309690811052556</v>
      </c>
      <c r="H903">
        <v>0.595492732483857</v>
      </c>
      <c r="I903">
        <v>2944.952941</v>
      </c>
      <c r="J903">
        <v>3.824018258686957</v>
      </c>
      <c r="K903">
        <v>0.0698115747343326</v>
      </c>
      <c r="L903">
        <v>1.293251792126731</v>
      </c>
      <c r="M903">
        <v>49.29</v>
      </c>
      <c r="N903">
        <v>24.53</v>
      </c>
    </row>
    <row r="904" spans="1:14">
      <c r="A904" s="1" t="s">
        <v>916</v>
      </c>
      <c r="B904">
        <f>HYPERLINK("https://www.suredividend.com/sure-analysis-research-database/","KBR Inc")</f>
        <v>0</v>
      </c>
      <c r="C904" t="s">
        <v>1924</v>
      </c>
      <c r="D904">
        <v>49.7</v>
      </c>
      <c r="E904">
        <v>0.009623219704225</v>
      </c>
      <c r="F904">
        <v>0.09090909090909083</v>
      </c>
      <c r="G904">
        <v>0.08447177119769855</v>
      </c>
      <c r="H904">
        <v>0.4782740193000251</v>
      </c>
      <c r="I904">
        <v>6818.652084</v>
      </c>
      <c r="J904">
        <v>41.32516414727273</v>
      </c>
      <c r="K904">
        <v>0.4347945630000227</v>
      </c>
      <c r="L904">
        <v>0.6539087497093361</v>
      </c>
      <c r="M904">
        <v>56.52</v>
      </c>
      <c r="N904">
        <v>41.38</v>
      </c>
    </row>
    <row r="905" spans="1:14">
      <c r="A905" s="1" t="s">
        <v>917</v>
      </c>
      <c r="B905">
        <f>HYPERLINK("https://www.suredividend.com/sure-analysis-research-database/","Chinook Therapeutics Inc")</f>
        <v>0</v>
      </c>
      <c r="C905" t="s">
        <v>1921</v>
      </c>
      <c r="D905">
        <v>24.85</v>
      </c>
      <c r="E905">
        <v>0</v>
      </c>
      <c r="F905" t="s">
        <v>1921</v>
      </c>
      <c r="G905" t="s">
        <v>1921</v>
      </c>
      <c r="H905">
        <v>0</v>
      </c>
      <c r="I905">
        <v>1588.924407</v>
      </c>
      <c r="J905">
        <v>0</v>
      </c>
      <c r="K905" t="s">
        <v>1921</v>
      </c>
      <c r="L905">
        <v>1.10510633461288</v>
      </c>
      <c r="M905">
        <v>27.44</v>
      </c>
      <c r="N905">
        <v>11.16</v>
      </c>
    </row>
    <row r="906" spans="1:14">
      <c r="A906" s="1" t="s">
        <v>918</v>
      </c>
      <c r="B906">
        <f>HYPERLINK("https://www.suredividend.com/sure-analysis-research-database/","Kimball Electronics Inc")</f>
        <v>0</v>
      </c>
      <c r="C906" t="s">
        <v>1924</v>
      </c>
      <c r="D906">
        <v>24.23</v>
      </c>
      <c r="E906">
        <v>0</v>
      </c>
      <c r="F906" t="s">
        <v>1921</v>
      </c>
      <c r="G906" t="s">
        <v>1921</v>
      </c>
      <c r="H906">
        <v>0</v>
      </c>
      <c r="I906">
        <v>598.73132</v>
      </c>
      <c r="J906">
        <v>0</v>
      </c>
      <c r="K906" t="s">
        <v>1921</v>
      </c>
      <c r="L906">
        <v>0.8200757879727361</v>
      </c>
      <c r="M906">
        <v>25.39</v>
      </c>
      <c r="N906">
        <v>16.66</v>
      </c>
    </row>
    <row r="907" spans="1:14">
      <c r="A907" s="1" t="s">
        <v>919</v>
      </c>
      <c r="B907">
        <f>HYPERLINK("https://www.suredividend.com/sure-analysis-research-database/","Kelly Services, Inc.")</f>
        <v>0</v>
      </c>
      <c r="C907" t="s">
        <v>1924</v>
      </c>
      <c r="D907">
        <v>17.11</v>
      </c>
      <c r="E907">
        <v>0.015979344230771</v>
      </c>
      <c r="F907" t="s">
        <v>1921</v>
      </c>
      <c r="G907" t="s">
        <v>1921</v>
      </c>
      <c r="H907">
        <v>0.273406579788503</v>
      </c>
      <c r="I907">
        <v>649.089228</v>
      </c>
      <c r="J907">
        <v>68.32518185894736</v>
      </c>
      <c r="K907">
        <v>1.109604625765028</v>
      </c>
      <c r="L907">
        <v>0.9886559574979541</v>
      </c>
      <c r="M907">
        <v>22.71</v>
      </c>
      <c r="N907">
        <v>13.35</v>
      </c>
    </row>
    <row r="908" spans="1:14">
      <c r="A908" s="1" t="s">
        <v>920</v>
      </c>
      <c r="B908">
        <f>HYPERLINK("https://www.suredividend.com/sure-analysis-research-database/","Kforce Inc.")</f>
        <v>0</v>
      </c>
      <c r="C908" t="s">
        <v>1924</v>
      </c>
      <c r="D908">
        <v>55.15</v>
      </c>
      <c r="E908">
        <v>0.021590032778487</v>
      </c>
      <c r="F908">
        <v>0.153846153846154</v>
      </c>
      <c r="G908">
        <v>0.2011244339814313</v>
      </c>
      <c r="H908">
        <v>1.190690307733575</v>
      </c>
      <c r="I908">
        <v>1144.563577</v>
      </c>
      <c r="J908">
        <v>12.87197985694846</v>
      </c>
      <c r="K908">
        <v>0.2781986700312091</v>
      </c>
      <c r="L908">
        <v>0.9229809052696221</v>
      </c>
      <c r="M908">
        <v>76.98999999999999</v>
      </c>
      <c r="N908">
        <v>49.35</v>
      </c>
    </row>
    <row r="909" spans="1:14">
      <c r="A909" s="1" t="s">
        <v>921</v>
      </c>
      <c r="B909">
        <f>HYPERLINK("https://www.suredividend.com/sure-analysis-research-database/","Korn Ferry")</f>
        <v>0</v>
      </c>
      <c r="C909" t="s">
        <v>1924</v>
      </c>
      <c r="D909">
        <v>51.51</v>
      </c>
      <c r="E909">
        <v>0.011025172139615</v>
      </c>
      <c r="F909">
        <v>0.25</v>
      </c>
      <c r="G909">
        <v>0.08447177119769855</v>
      </c>
      <c r="H909">
        <v>0.5679066169115841</v>
      </c>
      <c r="I909">
        <v>2715.089525</v>
      </c>
      <c r="J909">
        <v>8.497906186522108</v>
      </c>
      <c r="K909">
        <v>0.09371396318673005</v>
      </c>
      <c r="L909">
        <v>0.994964378051811</v>
      </c>
      <c r="M909">
        <v>73.91</v>
      </c>
      <c r="N909">
        <v>46.33</v>
      </c>
    </row>
    <row r="910" spans="1:14">
      <c r="A910" s="1" t="s">
        <v>922</v>
      </c>
      <c r="B910">
        <f>HYPERLINK("https://www.suredividend.com/sure-analysis-research-database/","OrthoPediatrics corp")</f>
        <v>0</v>
      </c>
      <c r="C910" t="s">
        <v>1922</v>
      </c>
      <c r="D910">
        <v>44.26</v>
      </c>
      <c r="E910">
        <v>0</v>
      </c>
      <c r="F910" t="s">
        <v>1921</v>
      </c>
      <c r="G910" t="s">
        <v>1921</v>
      </c>
      <c r="H910">
        <v>0</v>
      </c>
      <c r="I910">
        <v>1013.17779</v>
      </c>
      <c r="J910">
        <v>110.3920015253868</v>
      </c>
      <c r="K910">
        <v>0</v>
      </c>
      <c r="L910">
        <v>1.278921007882339</v>
      </c>
      <c r="M910">
        <v>60.75</v>
      </c>
      <c r="N910">
        <v>35.67</v>
      </c>
    </row>
    <row r="911" spans="1:14">
      <c r="A911" s="1" t="s">
        <v>923</v>
      </c>
      <c r="B911">
        <f>HYPERLINK("https://www.suredividend.com/sure-analysis-research-database/","Kirkland`s Inc")</f>
        <v>0</v>
      </c>
      <c r="C911" t="s">
        <v>1927</v>
      </c>
      <c r="D911">
        <v>3.45</v>
      </c>
      <c r="E911">
        <v>0</v>
      </c>
      <c r="F911" t="s">
        <v>1921</v>
      </c>
      <c r="G911" t="s">
        <v>1921</v>
      </c>
      <c r="H911">
        <v>0</v>
      </c>
      <c r="I911">
        <v>44.00257</v>
      </c>
      <c r="J911" t="s">
        <v>1921</v>
      </c>
      <c r="K911">
        <v>-0</v>
      </c>
      <c r="L911">
        <v>1.406751689279078</v>
      </c>
      <c r="M911">
        <v>17.72</v>
      </c>
      <c r="N911">
        <v>2.9</v>
      </c>
    </row>
    <row r="912" spans="1:14">
      <c r="A912" s="1" t="s">
        <v>924</v>
      </c>
      <c r="B912">
        <f>HYPERLINK("https://www.suredividend.com/sure-analysis-research-database/","Kaleido Biosciences Inc")</f>
        <v>0</v>
      </c>
      <c r="C912" t="s">
        <v>1922</v>
      </c>
      <c r="D912">
        <v>0.29</v>
      </c>
      <c r="E912">
        <v>0</v>
      </c>
      <c r="F912" t="s">
        <v>1921</v>
      </c>
      <c r="G912" t="s">
        <v>1921</v>
      </c>
      <c r="H912">
        <v>0</v>
      </c>
      <c r="I912">
        <v>0</v>
      </c>
      <c r="J912">
        <v>0</v>
      </c>
      <c r="K912" t="s">
        <v>1921</v>
      </c>
    </row>
    <row r="913" spans="1:14">
      <c r="A913" s="1" t="s">
        <v>925</v>
      </c>
      <c r="B913">
        <f>HYPERLINK("https://www.suredividend.com/sure-analysis-KLIC/","Kulicke &amp; Soffa Industries, Inc.")</f>
        <v>0</v>
      </c>
      <c r="C913" t="s">
        <v>1920</v>
      </c>
      <c r="D913">
        <v>47.99</v>
      </c>
      <c r="E913">
        <v>0.01583663263179829</v>
      </c>
      <c r="F913" t="s">
        <v>1921</v>
      </c>
      <c r="G913" t="s">
        <v>1921</v>
      </c>
      <c r="H913">
        <v>0.695784266936185</v>
      </c>
      <c r="I913">
        <v>2736.341234</v>
      </c>
      <c r="J913">
        <v>5.447048657258939</v>
      </c>
      <c r="K913">
        <v>0.08664810298084497</v>
      </c>
      <c r="L913">
        <v>1.5239184193339</v>
      </c>
      <c r="M913">
        <v>61.23</v>
      </c>
      <c r="N913">
        <v>35.8</v>
      </c>
    </row>
    <row r="914" spans="1:14">
      <c r="A914" s="1" t="s">
        <v>926</v>
      </c>
      <c r="B914">
        <f>HYPERLINK("https://www.suredividend.com/sure-analysis-research-database/","Kaltura Inc")</f>
        <v>0</v>
      </c>
      <c r="C914" t="s">
        <v>1921</v>
      </c>
      <c r="D914">
        <v>1.98</v>
      </c>
      <c r="E914">
        <v>0</v>
      </c>
      <c r="F914" t="s">
        <v>1921</v>
      </c>
      <c r="G914" t="s">
        <v>1921</v>
      </c>
      <c r="H914">
        <v>0</v>
      </c>
      <c r="I914">
        <v>263.864429</v>
      </c>
      <c r="J914">
        <v>0</v>
      </c>
      <c r="K914" t="s">
        <v>1921</v>
      </c>
      <c r="L914">
        <v>1.336072962576963</v>
      </c>
      <c r="M914">
        <v>3.74</v>
      </c>
      <c r="N914">
        <v>1.32</v>
      </c>
    </row>
    <row r="915" spans="1:14">
      <c r="A915" s="1" t="s">
        <v>927</v>
      </c>
      <c r="B915">
        <f>HYPERLINK("https://www.suredividend.com/sure-analysis-research-database/","KemPharm Inc")</f>
        <v>0</v>
      </c>
      <c r="C915" t="s">
        <v>1922</v>
      </c>
      <c r="D915">
        <v>4.54</v>
      </c>
      <c r="E915">
        <v>0</v>
      </c>
      <c r="F915" t="s">
        <v>1921</v>
      </c>
      <c r="G915" t="s">
        <v>1921</v>
      </c>
      <c r="H915">
        <v>0</v>
      </c>
      <c r="I915">
        <v>156.652073</v>
      </c>
      <c r="J915">
        <v>0</v>
      </c>
      <c r="K915" t="s">
        <v>1921</v>
      </c>
      <c r="L915">
        <v>0.885172373726087</v>
      </c>
      <c r="M915">
        <v>8.970000000000001</v>
      </c>
      <c r="N915">
        <v>4</v>
      </c>
    </row>
    <row r="916" spans="1:14">
      <c r="A916" s="1" t="s">
        <v>928</v>
      </c>
      <c r="B916">
        <f>HYPERLINK("https://www.suredividend.com/sure-analysis-research-database/","Kennametal Inc.")</f>
        <v>0</v>
      </c>
      <c r="C916" t="s">
        <v>1924</v>
      </c>
      <c r="D916">
        <v>25.97</v>
      </c>
      <c r="E916">
        <v>0.030439814955473</v>
      </c>
      <c r="F916">
        <v>0</v>
      </c>
      <c r="G916">
        <v>0</v>
      </c>
      <c r="H916">
        <v>0.790521994393649</v>
      </c>
      <c r="I916">
        <v>2092.56877</v>
      </c>
      <c r="J916">
        <v>15.3165967925136</v>
      </c>
      <c r="K916">
        <v>0.4820256063375908</v>
      </c>
      <c r="L916">
        <v>1.143033861625699</v>
      </c>
      <c r="M916">
        <v>36.27</v>
      </c>
      <c r="N916">
        <v>20.04</v>
      </c>
    </row>
    <row r="917" spans="1:14">
      <c r="A917" s="1" t="s">
        <v>929</v>
      </c>
      <c r="B917">
        <f>HYPERLINK("https://www.suredividend.com/sure-analysis-research-database/","Knowles Corp")</f>
        <v>0</v>
      </c>
      <c r="C917" t="s">
        <v>1920</v>
      </c>
      <c r="D917">
        <v>17.79</v>
      </c>
      <c r="E917">
        <v>0</v>
      </c>
      <c r="F917" t="s">
        <v>1921</v>
      </c>
      <c r="G917" t="s">
        <v>1921</v>
      </c>
      <c r="H917">
        <v>0</v>
      </c>
      <c r="I917">
        <v>1617.937292</v>
      </c>
      <c r="J917" t="s">
        <v>1921</v>
      </c>
      <c r="K917">
        <v>-0</v>
      </c>
      <c r="L917">
        <v>0.8460326130462741</v>
      </c>
      <c r="M917">
        <v>23.41</v>
      </c>
      <c r="N917">
        <v>11.57</v>
      </c>
    </row>
    <row r="918" spans="1:14">
      <c r="A918" s="1" t="s">
        <v>930</v>
      </c>
      <c r="B918">
        <f>HYPERLINK("https://www.suredividend.com/sure-analysis-research-database/","Kiniksa Pharmaceuticals Ltd")</f>
        <v>0</v>
      </c>
      <c r="C918" t="s">
        <v>1922</v>
      </c>
      <c r="D918">
        <v>14.56</v>
      </c>
      <c r="E918">
        <v>0</v>
      </c>
      <c r="F918" t="s">
        <v>1921</v>
      </c>
      <c r="G918" t="s">
        <v>1921</v>
      </c>
      <c r="H918">
        <v>0</v>
      </c>
      <c r="I918">
        <v>502.772583</v>
      </c>
      <c r="J918">
        <v>0</v>
      </c>
      <c r="K918" t="s">
        <v>1921</v>
      </c>
      <c r="L918">
        <v>0.952469543636252</v>
      </c>
      <c r="M918">
        <v>17.2</v>
      </c>
      <c r="N918">
        <v>7.36</v>
      </c>
    </row>
    <row r="919" spans="1:14">
      <c r="A919" s="1" t="s">
        <v>931</v>
      </c>
      <c r="B919">
        <f>HYPERLINK("https://www.suredividend.com/sure-analysis-research-database/","Kinsale Capital Group Inc")</f>
        <v>0</v>
      </c>
      <c r="C919" t="s">
        <v>1923</v>
      </c>
      <c r="D919">
        <v>272.89</v>
      </c>
      <c r="E919">
        <v>0.001904176254365</v>
      </c>
      <c r="F919">
        <v>0.1818181818181819</v>
      </c>
      <c r="G919">
        <v>0.1317983656310018</v>
      </c>
      <c r="H919">
        <v>0.519630658053809</v>
      </c>
      <c r="I919">
        <v>6256.067379</v>
      </c>
      <c r="J919">
        <v>44.62722387666297</v>
      </c>
      <c r="K919">
        <v>0.08560636870738204</v>
      </c>
      <c r="L919">
        <v>0.8203536464447001</v>
      </c>
      <c r="M919">
        <v>334.85</v>
      </c>
      <c r="N919">
        <v>179.67</v>
      </c>
    </row>
    <row r="920" spans="1:14">
      <c r="A920" s="1" t="s">
        <v>932</v>
      </c>
      <c r="B920">
        <f>HYPERLINK("https://www.suredividend.com/sure-analysis-research-database/","Kinnate Biopharma Inc")</f>
        <v>0</v>
      </c>
      <c r="C920" t="s">
        <v>1921</v>
      </c>
      <c r="D920">
        <v>6.45</v>
      </c>
      <c r="E920">
        <v>0</v>
      </c>
      <c r="F920" t="s">
        <v>1921</v>
      </c>
      <c r="G920" t="s">
        <v>1921</v>
      </c>
      <c r="H920">
        <v>0</v>
      </c>
      <c r="I920">
        <v>284.862205</v>
      </c>
      <c r="J920">
        <v>0</v>
      </c>
      <c r="K920" t="s">
        <v>1921</v>
      </c>
      <c r="L920">
        <v>1.336685260338087</v>
      </c>
      <c r="M920">
        <v>16.07</v>
      </c>
      <c r="N920">
        <v>5.17</v>
      </c>
    </row>
    <row r="921" spans="1:14">
      <c r="A921" s="1" t="s">
        <v>933</v>
      </c>
      <c r="B921">
        <f>HYPERLINK("https://www.suredividend.com/sure-analysis-research-database/","Kinetik Holdings Inc")</f>
        <v>0</v>
      </c>
      <c r="C921" t="s">
        <v>1921</v>
      </c>
      <c r="D921">
        <v>31.08</v>
      </c>
      <c r="E921">
        <v>0.069989815333105</v>
      </c>
      <c r="F921" t="s">
        <v>1921</v>
      </c>
      <c r="G921" t="s">
        <v>1921</v>
      </c>
      <c r="H921">
        <v>2.175283460552918</v>
      </c>
      <c r="I921">
        <v>1338.99344</v>
      </c>
      <c r="J921">
        <v>0</v>
      </c>
      <c r="K921" t="s">
        <v>1921</v>
      </c>
      <c r="M921">
        <v>69.54000000000001</v>
      </c>
      <c r="N921">
        <v>26.79</v>
      </c>
    </row>
    <row r="922" spans="1:14">
      <c r="A922" s="1" t="s">
        <v>934</v>
      </c>
      <c r="B922">
        <f>HYPERLINK("https://www.suredividend.com/sure-analysis-research-database/","Kodiak Sciences Inc")</f>
        <v>0</v>
      </c>
      <c r="C922" t="s">
        <v>1922</v>
      </c>
      <c r="D922">
        <v>8.23</v>
      </c>
      <c r="E922">
        <v>0</v>
      </c>
      <c r="F922" t="s">
        <v>1921</v>
      </c>
      <c r="G922" t="s">
        <v>1921</v>
      </c>
      <c r="H922">
        <v>0</v>
      </c>
      <c r="I922">
        <v>430.504337</v>
      </c>
      <c r="J922">
        <v>0</v>
      </c>
      <c r="K922" t="s">
        <v>1921</v>
      </c>
      <c r="L922">
        <v>1.839630891249762</v>
      </c>
      <c r="M922">
        <v>70.59</v>
      </c>
      <c r="N922">
        <v>4.9</v>
      </c>
    </row>
    <row r="923" spans="1:14">
      <c r="A923" s="1" t="s">
        <v>935</v>
      </c>
      <c r="B923">
        <f>HYPERLINK("https://www.suredividend.com/sure-analysis-research-database/","Eastman Kodak Co.")</f>
        <v>0</v>
      </c>
      <c r="C923" t="s">
        <v>1924</v>
      </c>
      <c r="D923">
        <v>3.35</v>
      </c>
      <c r="E923">
        <v>0</v>
      </c>
      <c r="F923" t="s">
        <v>1921</v>
      </c>
      <c r="G923" t="s">
        <v>1921</v>
      </c>
      <c r="H923">
        <v>0</v>
      </c>
      <c r="I923">
        <v>264.99095</v>
      </c>
      <c r="J923">
        <v>0</v>
      </c>
      <c r="K923" t="s">
        <v>1921</v>
      </c>
      <c r="L923">
        <v>1.591251276910414</v>
      </c>
      <c r="M923">
        <v>7.5</v>
      </c>
      <c r="N923">
        <v>2.78</v>
      </c>
    </row>
    <row r="924" spans="1:14">
      <c r="A924" s="1" t="s">
        <v>936</v>
      </c>
      <c r="B924">
        <f>HYPERLINK("https://www.suredividend.com/sure-analysis-research-database/","Koppers Holdings Inc")</f>
        <v>0</v>
      </c>
      <c r="C924" t="s">
        <v>1925</v>
      </c>
      <c r="D924">
        <v>29.39</v>
      </c>
      <c r="E924">
        <v>0.006786415296314001</v>
      </c>
      <c r="F924" t="s">
        <v>1921</v>
      </c>
      <c r="G924" t="s">
        <v>1921</v>
      </c>
      <c r="H924">
        <v>0.199452745558679</v>
      </c>
      <c r="I924">
        <v>614.192367</v>
      </c>
      <c r="J924">
        <v>8.554211238857938</v>
      </c>
      <c r="K924">
        <v>0.05971639088583204</v>
      </c>
      <c r="L924">
        <v>1.040156897680814</v>
      </c>
      <c r="M924">
        <v>32.38</v>
      </c>
      <c r="N924">
        <v>20.08</v>
      </c>
    </row>
    <row r="925" spans="1:14">
      <c r="A925" s="1" t="s">
        <v>937</v>
      </c>
      <c r="B925">
        <f>HYPERLINK("https://www.suredividend.com/sure-analysis-research-database/","Kopin Corp.")</f>
        <v>0</v>
      </c>
      <c r="C925" t="s">
        <v>1920</v>
      </c>
      <c r="D925">
        <v>1.54</v>
      </c>
      <c r="E925">
        <v>0</v>
      </c>
      <c r="F925" t="s">
        <v>1921</v>
      </c>
      <c r="G925" t="s">
        <v>1921</v>
      </c>
      <c r="H925">
        <v>0</v>
      </c>
      <c r="I925">
        <v>146.491665</v>
      </c>
      <c r="J925" t="s">
        <v>1921</v>
      </c>
      <c r="K925">
        <v>-0</v>
      </c>
      <c r="L925">
        <v>1.707879225059038</v>
      </c>
      <c r="M925">
        <v>3.79</v>
      </c>
      <c r="N925">
        <v>0.96</v>
      </c>
    </row>
    <row r="926" spans="1:14">
      <c r="A926" s="1" t="s">
        <v>938</v>
      </c>
      <c r="B926">
        <f>HYPERLINK("https://www.suredividend.com/sure-analysis-research-database/","Kosmos Energy Ltd")</f>
        <v>0</v>
      </c>
      <c r="C926" t="s">
        <v>1926</v>
      </c>
      <c r="D926">
        <v>6.53</v>
      </c>
      <c r="E926">
        <v>0</v>
      </c>
      <c r="F926" t="s">
        <v>1921</v>
      </c>
      <c r="G926" t="s">
        <v>1921</v>
      </c>
      <c r="H926">
        <v>0</v>
      </c>
      <c r="I926">
        <v>2976.984562</v>
      </c>
      <c r="J926">
        <v>6.772908592629163</v>
      </c>
      <c r="K926">
        <v>0</v>
      </c>
      <c r="L926">
        <v>0.9983498418444591</v>
      </c>
      <c r="M926">
        <v>8.49</v>
      </c>
      <c r="N926">
        <v>3.89</v>
      </c>
    </row>
    <row r="927" spans="1:14">
      <c r="A927" s="1" t="s">
        <v>939</v>
      </c>
      <c r="B927">
        <f>HYPERLINK("https://www.suredividend.com/sure-analysis-research-database/","Karyopharm Therapeutics Inc")</f>
        <v>0</v>
      </c>
      <c r="C927" t="s">
        <v>1922</v>
      </c>
      <c r="D927">
        <v>2.84</v>
      </c>
      <c r="E927">
        <v>0</v>
      </c>
      <c r="F927" t="s">
        <v>1921</v>
      </c>
      <c r="G927" t="s">
        <v>1921</v>
      </c>
      <c r="H927">
        <v>0</v>
      </c>
      <c r="I927">
        <v>321.525394</v>
      </c>
      <c r="J927">
        <v>0</v>
      </c>
      <c r="K927" t="s">
        <v>1921</v>
      </c>
      <c r="L927">
        <v>1.438198725892261</v>
      </c>
      <c r="M927">
        <v>14.73</v>
      </c>
      <c r="N927">
        <v>2.45</v>
      </c>
    </row>
    <row r="928" spans="1:14">
      <c r="A928" s="1" t="s">
        <v>940</v>
      </c>
      <c r="B928">
        <f>HYPERLINK("https://www.suredividend.com/sure-analysis-KREF/","KKR Real Estate Finance Trust Inc")</f>
        <v>0</v>
      </c>
      <c r="C928" t="s">
        <v>1929</v>
      </c>
      <c r="D928">
        <v>14.21</v>
      </c>
      <c r="E928">
        <v>0.1210415200562984</v>
      </c>
      <c r="F928">
        <v>0</v>
      </c>
      <c r="G928">
        <v>0.01456924404965632</v>
      </c>
      <c r="H928">
        <v>1.650512032022583</v>
      </c>
      <c r="I928">
        <v>981.840106</v>
      </c>
      <c r="J928">
        <v>27.29835978285651</v>
      </c>
      <c r="K928">
        <v>3.061038635056719</v>
      </c>
      <c r="L928">
        <v>0.6990803376590401</v>
      </c>
      <c r="M928">
        <v>20.29</v>
      </c>
      <c r="N928">
        <v>13.55</v>
      </c>
    </row>
    <row r="929" spans="1:14">
      <c r="A929" s="1" t="s">
        <v>941</v>
      </c>
      <c r="B929">
        <f>HYPERLINK("https://www.suredividend.com/sure-analysis-KRG/","Kite Realty Group Trust")</f>
        <v>0</v>
      </c>
      <c r="C929" t="s">
        <v>1929</v>
      </c>
      <c r="D929">
        <v>20.42</v>
      </c>
      <c r="E929">
        <v>0.04309500489715964</v>
      </c>
      <c r="F929">
        <v>0.263157894736842</v>
      </c>
      <c r="G929">
        <v>-0.05443039740052658</v>
      </c>
      <c r="H929">
        <v>0.8557878150796481</v>
      </c>
      <c r="I929">
        <v>4473.999681</v>
      </c>
      <c r="J929" t="s">
        <v>1921</v>
      </c>
      <c r="K929" t="s">
        <v>1921</v>
      </c>
      <c r="L929">
        <v>0.9611683347549571</v>
      </c>
      <c r="M929">
        <v>22.85</v>
      </c>
      <c r="N929">
        <v>16.04</v>
      </c>
    </row>
    <row r="930" spans="1:14">
      <c r="A930" s="1" t="s">
        <v>942</v>
      </c>
      <c r="B930">
        <f>HYPERLINK("https://www.suredividend.com/sure-analysis-research-database/","Kearny Financial Corp.")</f>
        <v>0</v>
      </c>
      <c r="C930" t="s">
        <v>1923</v>
      </c>
      <c r="D930">
        <v>10.16</v>
      </c>
      <c r="E930">
        <v>0.042623710173031</v>
      </c>
      <c r="F930">
        <v>0</v>
      </c>
      <c r="G930">
        <v>0.2242399253642746</v>
      </c>
      <c r="H930">
        <v>0.433056895358</v>
      </c>
      <c r="I930">
        <v>686.488553</v>
      </c>
      <c r="J930">
        <v>10.66522524523436</v>
      </c>
      <c r="K930">
        <v>0.462420603692472</v>
      </c>
      <c r="L930">
        <v>0.5618230643899811</v>
      </c>
      <c r="M930">
        <v>13.36</v>
      </c>
      <c r="N930">
        <v>9.01</v>
      </c>
    </row>
    <row r="931" spans="1:14">
      <c r="A931" s="1" t="s">
        <v>943</v>
      </c>
      <c r="B931">
        <f>HYPERLINK("https://www.suredividend.com/sure-analysis-KRO/","Kronos Worldwide, Inc.")</f>
        <v>0</v>
      </c>
      <c r="C931" t="s">
        <v>1925</v>
      </c>
      <c r="D931">
        <v>10.43</v>
      </c>
      <c r="E931">
        <v>0.07286673058485139</v>
      </c>
      <c r="F931">
        <v>0.05555555555555558</v>
      </c>
      <c r="G931">
        <v>0.02249439475955151</v>
      </c>
      <c r="H931">
        <v>0.741803710656876</v>
      </c>
      <c r="I931">
        <v>1204.352382</v>
      </c>
      <c r="J931">
        <v>7.720207574423076</v>
      </c>
      <c r="K931">
        <v>0.5494842301162044</v>
      </c>
      <c r="L931">
        <v>0.7415287315081011</v>
      </c>
      <c r="M931">
        <v>19.12</v>
      </c>
      <c r="N931">
        <v>8.31</v>
      </c>
    </row>
    <row r="932" spans="1:14">
      <c r="A932" s="1" t="s">
        <v>944</v>
      </c>
      <c r="B932">
        <f>HYPERLINK("https://www.suredividend.com/sure-analysis-research-database/","Kronos Bio Inc")</f>
        <v>0</v>
      </c>
      <c r="C932" t="s">
        <v>1921</v>
      </c>
      <c r="D932">
        <v>1.98</v>
      </c>
      <c r="E932">
        <v>0</v>
      </c>
      <c r="F932" t="s">
        <v>1921</v>
      </c>
      <c r="G932" t="s">
        <v>1921</v>
      </c>
      <c r="H932">
        <v>0</v>
      </c>
      <c r="I932">
        <v>112.658781</v>
      </c>
      <c r="J932">
        <v>0</v>
      </c>
      <c r="K932" t="s">
        <v>1921</v>
      </c>
      <c r="L932">
        <v>1.798956902293338</v>
      </c>
      <c r="M932">
        <v>13.29</v>
      </c>
      <c r="N932">
        <v>1.35</v>
      </c>
    </row>
    <row r="933" spans="1:14">
      <c r="A933" s="1" t="s">
        <v>945</v>
      </c>
      <c r="B933">
        <f>HYPERLINK("https://www.suredividend.com/sure-analysis-research-database/","Keros Therapeutics Inc")</f>
        <v>0</v>
      </c>
      <c r="C933" t="s">
        <v>1922</v>
      </c>
      <c r="D933">
        <v>46.39</v>
      </c>
      <c r="E933">
        <v>0</v>
      </c>
      <c r="F933" t="s">
        <v>1921</v>
      </c>
      <c r="G933" t="s">
        <v>1921</v>
      </c>
      <c r="H933">
        <v>0</v>
      </c>
      <c r="I933">
        <v>1277.731414</v>
      </c>
      <c r="J933">
        <v>0</v>
      </c>
      <c r="K933" t="s">
        <v>1921</v>
      </c>
      <c r="L933">
        <v>1.519596714170285</v>
      </c>
      <c r="M933">
        <v>68.29000000000001</v>
      </c>
      <c r="N933">
        <v>24.38</v>
      </c>
    </row>
    <row r="934" spans="1:14">
      <c r="A934" s="1" t="s">
        <v>946</v>
      </c>
      <c r="B934">
        <f>HYPERLINK("https://www.suredividend.com/sure-analysis-research-database/","Karat Packaging Inc")</f>
        <v>0</v>
      </c>
      <c r="C934" t="s">
        <v>1921</v>
      </c>
      <c r="D934">
        <v>15.17</v>
      </c>
      <c r="E934">
        <v>0</v>
      </c>
      <c r="F934" t="s">
        <v>1921</v>
      </c>
      <c r="G934" t="s">
        <v>1921</v>
      </c>
      <c r="H934">
        <v>0</v>
      </c>
      <c r="I934">
        <v>302.004542</v>
      </c>
      <c r="J934">
        <v>0</v>
      </c>
      <c r="K934" t="s">
        <v>1921</v>
      </c>
      <c r="L934">
        <v>0.7879190594213941</v>
      </c>
      <c r="M934">
        <v>20.35</v>
      </c>
      <c r="N934">
        <v>12.5</v>
      </c>
    </row>
    <row r="935" spans="1:14">
      <c r="A935" s="1" t="s">
        <v>947</v>
      </c>
      <c r="B935">
        <f>HYPERLINK("https://www.suredividend.com/sure-analysis-research-database/","Karuna Therapeutics Inc")</f>
        <v>0</v>
      </c>
      <c r="C935" t="s">
        <v>1922</v>
      </c>
      <c r="D935">
        <v>190.51</v>
      </c>
      <c r="E935">
        <v>0</v>
      </c>
      <c r="F935" t="s">
        <v>1921</v>
      </c>
      <c r="G935" t="s">
        <v>1921</v>
      </c>
      <c r="H935">
        <v>0</v>
      </c>
      <c r="I935">
        <v>6546.452646</v>
      </c>
      <c r="J935">
        <v>0</v>
      </c>
      <c r="K935" t="s">
        <v>1921</v>
      </c>
      <c r="L935">
        <v>1.204512877494065</v>
      </c>
      <c r="M935">
        <v>278.25</v>
      </c>
      <c r="N935">
        <v>92.26000000000001</v>
      </c>
    </row>
    <row r="936" spans="1:14">
      <c r="A936" s="1" t="s">
        <v>948</v>
      </c>
      <c r="B936">
        <f>HYPERLINK("https://www.suredividend.com/sure-analysis-research-database/","Kura Sushi USA Inc")</f>
        <v>0</v>
      </c>
      <c r="C936" t="s">
        <v>1927</v>
      </c>
      <c r="D936">
        <v>43.02</v>
      </c>
      <c r="E936">
        <v>0</v>
      </c>
      <c r="F936" t="s">
        <v>1921</v>
      </c>
      <c r="G936" t="s">
        <v>1921</v>
      </c>
      <c r="H936">
        <v>0</v>
      </c>
      <c r="I936">
        <v>378.237261</v>
      </c>
      <c r="J936">
        <v>0</v>
      </c>
      <c r="K936" t="s">
        <v>1921</v>
      </c>
      <c r="L936">
        <v>1.521700797501393</v>
      </c>
      <c r="M936">
        <v>96.59999999999999</v>
      </c>
      <c r="N936">
        <v>30.95</v>
      </c>
    </row>
    <row r="937" spans="1:14">
      <c r="A937" s="1" t="s">
        <v>949</v>
      </c>
      <c r="B937">
        <f>HYPERLINK("https://www.suredividend.com/sure-analysis-research-database/","Krystal Biotech Inc")</f>
        <v>0</v>
      </c>
      <c r="C937" t="s">
        <v>1922</v>
      </c>
      <c r="D937">
        <v>73.81999999999999</v>
      </c>
      <c r="E937">
        <v>0</v>
      </c>
      <c r="F937" t="s">
        <v>1921</v>
      </c>
      <c r="G937" t="s">
        <v>1921</v>
      </c>
      <c r="H937">
        <v>0</v>
      </c>
      <c r="I937">
        <v>1900.691302</v>
      </c>
      <c r="J937">
        <v>0</v>
      </c>
      <c r="K937" t="s">
        <v>1921</v>
      </c>
      <c r="L937">
        <v>1.454019615038899</v>
      </c>
      <c r="M937">
        <v>85.65000000000001</v>
      </c>
      <c r="N937">
        <v>47.67</v>
      </c>
    </row>
    <row r="938" spans="1:14">
      <c r="A938" s="1" t="s">
        <v>950</v>
      </c>
      <c r="B938">
        <f>HYPERLINK("https://www.suredividend.com/sure-analysis-KTB/","Kontoor Brands Inc")</f>
        <v>0</v>
      </c>
      <c r="C938" t="s">
        <v>1927</v>
      </c>
      <c r="D938">
        <v>43.09</v>
      </c>
      <c r="E938">
        <v>0.04455790206544441</v>
      </c>
      <c r="F938" t="s">
        <v>1921</v>
      </c>
      <c r="G938" t="s">
        <v>1921</v>
      </c>
      <c r="H938">
        <v>1.82780906258838</v>
      </c>
      <c r="I938">
        <v>2390.014385</v>
      </c>
      <c r="J938">
        <v>0</v>
      </c>
      <c r="K938" t="s">
        <v>1921</v>
      </c>
      <c r="L938">
        <v>1.219260530791221</v>
      </c>
      <c r="M938">
        <v>50.47</v>
      </c>
      <c r="N938">
        <v>30.25</v>
      </c>
    </row>
    <row r="939" spans="1:14">
      <c r="A939" s="1" t="s">
        <v>951</v>
      </c>
      <c r="B939">
        <f>HYPERLINK("https://www.suredividend.com/sure-analysis-research-database/","Kratos Defense &amp; Security Solutions Inc")</f>
        <v>0</v>
      </c>
      <c r="C939" t="s">
        <v>1924</v>
      </c>
      <c r="D939">
        <v>10.34</v>
      </c>
      <c r="E939">
        <v>0</v>
      </c>
      <c r="F939" t="s">
        <v>1921</v>
      </c>
      <c r="G939" t="s">
        <v>1921</v>
      </c>
      <c r="H939">
        <v>0</v>
      </c>
      <c r="I939">
        <v>1302.395246</v>
      </c>
      <c r="J939" t="s">
        <v>1921</v>
      </c>
      <c r="K939">
        <v>-0</v>
      </c>
      <c r="L939">
        <v>1.261864804112687</v>
      </c>
      <c r="M939">
        <v>22.26</v>
      </c>
      <c r="N939">
        <v>8.9</v>
      </c>
    </row>
    <row r="940" spans="1:14">
      <c r="A940" s="1" t="s">
        <v>952</v>
      </c>
      <c r="B940">
        <f>HYPERLINK("https://www.suredividend.com/sure-analysis-research-database/","Kura Oncology Inc")</f>
        <v>0</v>
      </c>
      <c r="C940" t="s">
        <v>1922</v>
      </c>
      <c r="D940">
        <v>11.92</v>
      </c>
      <c r="E940">
        <v>0</v>
      </c>
      <c r="F940" t="s">
        <v>1921</v>
      </c>
      <c r="G940" t="s">
        <v>1921</v>
      </c>
      <c r="H940">
        <v>0</v>
      </c>
      <c r="I940">
        <v>797.411906</v>
      </c>
      <c r="J940">
        <v>0</v>
      </c>
      <c r="K940" t="s">
        <v>1921</v>
      </c>
      <c r="L940">
        <v>1.133242966844081</v>
      </c>
      <c r="M940">
        <v>19.93</v>
      </c>
      <c r="N940">
        <v>10.41</v>
      </c>
    </row>
    <row r="941" spans="1:14">
      <c r="A941" s="1" t="s">
        <v>953</v>
      </c>
      <c r="B941">
        <f>HYPERLINK("https://www.suredividend.com/sure-analysis-research-database/","KVH Industries, Inc.")</f>
        <v>0</v>
      </c>
      <c r="C941" t="s">
        <v>1920</v>
      </c>
      <c r="D941">
        <v>10.31</v>
      </c>
      <c r="E941">
        <v>0</v>
      </c>
      <c r="F941" t="s">
        <v>1921</v>
      </c>
      <c r="G941" t="s">
        <v>1921</v>
      </c>
      <c r="H941">
        <v>0</v>
      </c>
      <c r="I941">
        <v>197.765966</v>
      </c>
      <c r="J941">
        <v>10.1783822110139</v>
      </c>
      <c r="K941">
        <v>0</v>
      </c>
      <c r="L941">
        <v>0.6214634753806041</v>
      </c>
      <c r="M941">
        <v>11.88</v>
      </c>
      <c r="N941">
        <v>6.89</v>
      </c>
    </row>
    <row r="942" spans="1:14">
      <c r="A942" s="1" t="s">
        <v>954</v>
      </c>
      <c r="B942">
        <f>HYPERLINK("https://www.suredividend.com/sure-analysis-research-database/","Kennedy-Wilson Holdings Inc")</f>
        <v>0</v>
      </c>
      <c r="C942" t="s">
        <v>1929</v>
      </c>
      <c r="D942">
        <v>15.89</v>
      </c>
      <c r="E942">
        <v>0.05908249623456</v>
      </c>
      <c r="F942">
        <v>0</v>
      </c>
      <c r="G942">
        <v>0.04783168830275741</v>
      </c>
      <c r="H942">
        <v>0.9388208651671661</v>
      </c>
      <c r="I942">
        <v>2189.495304</v>
      </c>
      <c r="J942">
        <v>27.47171020727729</v>
      </c>
      <c r="K942">
        <v>1.670797054933558</v>
      </c>
      <c r="L942">
        <v>0.92268262116813</v>
      </c>
      <c r="M942">
        <v>24.16</v>
      </c>
      <c r="N942">
        <v>13.75</v>
      </c>
    </row>
    <row r="943" spans="1:14">
      <c r="A943" s="1" t="s">
        <v>955</v>
      </c>
      <c r="B943">
        <f>HYPERLINK("https://www.suredividend.com/sure-analysis-research-database/","Quaker Houghton")</f>
        <v>0</v>
      </c>
      <c r="C943" t="s">
        <v>1925</v>
      </c>
      <c r="D943">
        <v>173.97</v>
      </c>
      <c r="E943">
        <v>0.009613791306467001</v>
      </c>
      <c r="F943">
        <v>0.04819277108433728</v>
      </c>
      <c r="G943">
        <v>0.04148298890674518</v>
      </c>
      <c r="H943">
        <v>1.672511273586074</v>
      </c>
      <c r="I943">
        <v>3119.571586</v>
      </c>
      <c r="J943">
        <v>40.08289543711775</v>
      </c>
      <c r="K943">
        <v>0.383603503116072</v>
      </c>
      <c r="L943">
        <v>1.39415325971984</v>
      </c>
      <c r="M943">
        <v>222.22</v>
      </c>
      <c r="N943">
        <v>128.66</v>
      </c>
    </row>
    <row r="944" spans="1:14">
      <c r="A944" s="1" t="s">
        <v>956</v>
      </c>
      <c r="B944">
        <f>HYPERLINK("https://www.suredividend.com/sure-analysis-research-database/","Kymera Therapeutics Inc")</f>
        <v>0</v>
      </c>
      <c r="C944" t="s">
        <v>1921</v>
      </c>
      <c r="D944">
        <v>27.03</v>
      </c>
      <c r="E944">
        <v>0</v>
      </c>
      <c r="F944" t="s">
        <v>1921</v>
      </c>
      <c r="G944" t="s">
        <v>1921</v>
      </c>
      <c r="H944">
        <v>0</v>
      </c>
      <c r="I944">
        <v>1482.993571</v>
      </c>
      <c r="J944">
        <v>0</v>
      </c>
      <c r="K944" t="s">
        <v>1921</v>
      </c>
      <c r="L944">
        <v>1.727419675545702</v>
      </c>
      <c r="M944">
        <v>55.27</v>
      </c>
      <c r="N944">
        <v>13.15</v>
      </c>
    </row>
    <row r="945" spans="1:14">
      <c r="A945" s="1" t="s">
        <v>957</v>
      </c>
      <c r="B945">
        <f>HYPERLINK("https://www.suredividend.com/sure-analysis-research-database/","Kezar Life Sciences Inc")</f>
        <v>0</v>
      </c>
      <c r="C945" t="s">
        <v>1922</v>
      </c>
      <c r="D945">
        <v>6.35</v>
      </c>
      <c r="E945">
        <v>0</v>
      </c>
      <c r="F945" t="s">
        <v>1921</v>
      </c>
      <c r="G945" t="s">
        <v>1921</v>
      </c>
      <c r="H945">
        <v>0</v>
      </c>
      <c r="I945">
        <v>434.200675</v>
      </c>
      <c r="J945">
        <v>0</v>
      </c>
      <c r="K945" t="s">
        <v>1921</v>
      </c>
      <c r="L945">
        <v>0.9183269831927161</v>
      </c>
      <c r="M945">
        <v>18.55</v>
      </c>
      <c r="N945">
        <v>4.31</v>
      </c>
    </row>
    <row r="946" spans="1:14">
      <c r="A946" s="1" t="s">
        <v>958</v>
      </c>
      <c r="B946">
        <f>HYPERLINK("https://www.suredividend.com/sure-analysis-research-database/","Standard BioTools Inc")</f>
        <v>0</v>
      </c>
      <c r="C946" t="s">
        <v>1921</v>
      </c>
      <c r="D946">
        <v>1.65</v>
      </c>
      <c r="E946">
        <v>0</v>
      </c>
      <c r="F946" t="s">
        <v>1921</v>
      </c>
      <c r="G946" t="s">
        <v>1921</v>
      </c>
      <c r="H946">
        <v>0</v>
      </c>
      <c r="I946">
        <v>130.839131</v>
      </c>
      <c r="J946" t="s">
        <v>1921</v>
      </c>
      <c r="K946">
        <v>-0</v>
      </c>
      <c r="L946">
        <v>1.531516674666103</v>
      </c>
      <c r="M946">
        <v>4.23</v>
      </c>
      <c r="N946">
        <v>0.92</v>
      </c>
    </row>
    <row r="947" spans="1:14">
      <c r="A947" s="1" t="s">
        <v>959</v>
      </c>
      <c r="B947">
        <f>HYPERLINK("https://www.suredividend.com/sure-analysis-research-database/","Landos Biopharma Inc")</f>
        <v>0</v>
      </c>
      <c r="C947" t="s">
        <v>1921</v>
      </c>
      <c r="D947">
        <v>0.3894</v>
      </c>
      <c r="E947">
        <v>0</v>
      </c>
      <c r="F947" t="s">
        <v>1921</v>
      </c>
      <c r="G947" t="s">
        <v>1921</v>
      </c>
      <c r="H947">
        <v>0</v>
      </c>
      <c r="I947">
        <v>15.675254</v>
      </c>
      <c r="J947">
        <v>0</v>
      </c>
      <c r="K947" t="s">
        <v>1921</v>
      </c>
      <c r="L947">
        <v>1.109988678206035</v>
      </c>
      <c r="M947">
        <v>4.24</v>
      </c>
      <c r="N947">
        <v>0.2111</v>
      </c>
    </row>
    <row r="948" spans="1:14">
      <c r="A948" s="1" t="s">
        <v>960</v>
      </c>
      <c r="B948">
        <f>HYPERLINK("https://www.suredividend.com/sure-analysis-LADR/","Ladder Capital Corp")</f>
        <v>0</v>
      </c>
      <c r="C948" t="s">
        <v>1929</v>
      </c>
      <c r="D948">
        <v>10.47</v>
      </c>
      <c r="E948">
        <v>0.08787010506208214</v>
      </c>
      <c r="F948">
        <v>0.1499999999999999</v>
      </c>
      <c r="G948">
        <v>-0.06681253824767253</v>
      </c>
      <c r="H948">
        <v>1.08158012067332</v>
      </c>
      <c r="I948">
        <v>1325.128734</v>
      </c>
      <c r="J948">
        <v>12.07164608488504</v>
      </c>
      <c r="K948">
        <v>1.233694673974358</v>
      </c>
      <c r="L948">
        <v>0.8364428435326501</v>
      </c>
      <c r="M948">
        <v>11.87</v>
      </c>
      <c r="N948">
        <v>8.470000000000001</v>
      </c>
    </row>
    <row r="949" spans="1:14">
      <c r="A949" s="1" t="s">
        <v>961</v>
      </c>
      <c r="B949">
        <f>HYPERLINK("https://www.suredividend.com/sure-analysis-LANC/","Lancaster Colony Corp.")</f>
        <v>0</v>
      </c>
      <c r="C949" t="s">
        <v>1928</v>
      </c>
      <c r="D949">
        <v>198.31</v>
      </c>
      <c r="E949">
        <v>0.01714487418687913</v>
      </c>
      <c r="F949">
        <v>0.0625</v>
      </c>
      <c r="G949">
        <v>0.07214502590085092</v>
      </c>
      <c r="H949">
        <v>3.227365427867739</v>
      </c>
      <c r="I949">
        <v>5464.03543</v>
      </c>
      <c r="J949">
        <v>56.75858468026759</v>
      </c>
      <c r="K949">
        <v>0.9194773298768487</v>
      </c>
      <c r="L949">
        <v>0.404658860068688</v>
      </c>
      <c r="M949">
        <v>213.11</v>
      </c>
      <c r="N949">
        <v>115.2</v>
      </c>
    </row>
    <row r="950" spans="1:14">
      <c r="A950" s="1" t="s">
        <v>962</v>
      </c>
      <c r="B950">
        <f>HYPERLINK("https://www.suredividend.com/sure-analysis-LAND/","Gladstone Land Corp")</f>
        <v>0</v>
      </c>
      <c r="C950" t="s">
        <v>1929</v>
      </c>
      <c r="D950">
        <v>18.87</v>
      </c>
      <c r="E950">
        <v>0.02914679385267621</v>
      </c>
      <c r="F950">
        <v>0.004385964912280604</v>
      </c>
      <c r="G950">
        <v>0.003530537988911675</v>
      </c>
      <c r="H950">
        <v>0.540529378815618</v>
      </c>
      <c r="I950">
        <v>654.8645739999999</v>
      </c>
      <c r="J950">
        <v>0</v>
      </c>
      <c r="K950" t="s">
        <v>1921</v>
      </c>
      <c r="L950">
        <v>1.006016069190966</v>
      </c>
      <c r="M950">
        <v>41.43</v>
      </c>
      <c r="N950">
        <v>17.16</v>
      </c>
    </row>
    <row r="951" spans="1:14">
      <c r="A951" s="1" t="s">
        <v>963</v>
      </c>
      <c r="B951">
        <f>HYPERLINK("https://www.suredividend.com/sure-analysis-research-database/","nLIGHT Inc")</f>
        <v>0</v>
      </c>
      <c r="C951" t="s">
        <v>1920</v>
      </c>
      <c r="D951">
        <v>11.84</v>
      </c>
      <c r="E951">
        <v>0</v>
      </c>
      <c r="F951" t="s">
        <v>1921</v>
      </c>
      <c r="G951" t="s">
        <v>1921</v>
      </c>
      <c r="H951">
        <v>0</v>
      </c>
      <c r="I951">
        <v>536.436076</v>
      </c>
      <c r="J951">
        <v>0</v>
      </c>
      <c r="K951" t="s">
        <v>1921</v>
      </c>
      <c r="L951">
        <v>1.685092512306427</v>
      </c>
      <c r="M951">
        <v>24.93</v>
      </c>
      <c r="N951">
        <v>8.220000000000001</v>
      </c>
    </row>
    <row r="952" spans="1:14">
      <c r="A952" s="1" t="s">
        <v>964</v>
      </c>
      <c r="B952">
        <f>HYPERLINK("https://www.suredividend.com/sure-analysis-research-database/","Laureate Education Inc")</f>
        <v>0</v>
      </c>
      <c r="C952" t="s">
        <v>1928</v>
      </c>
      <c r="D952">
        <v>9.609999999999999</v>
      </c>
      <c r="E952">
        <v>0</v>
      </c>
      <c r="F952" t="s">
        <v>1921</v>
      </c>
      <c r="G952" t="s">
        <v>1921</v>
      </c>
      <c r="H952">
        <v>0</v>
      </c>
      <c r="I952">
        <v>1582.279514</v>
      </c>
      <c r="J952">
        <v>28.10592950832193</v>
      </c>
      <c r="K952">
        <v>0</v>
      </c>
      <c r="L952">
        <v>0.517892601653275</v>
      </c>
      <c r="M952">
        <v>12.72</v>
      </c>
      <c r="N952">
        <v>9.220000000000001</v>
      </c>
    </row>
    <row r="953" spans="1:14">
      <c r="A953" s="1" t="s">
        <v>965</v>
      </c>
      <c r="B953">
        <f>HYPERLINK("https://www.suredividend.com/sure-analysis-research-database/","CS Disco Inc")</f>
        <v>0</v>
      </c>
      <c r="C953" t="s">
        <v>1921</v>
      </c>
      <c r="D953">
        <v>6.15</v>
      </c>
      <c r="E953">
        <v>0</v>
      </c>
      <c r="F953" t="s">
        <v>1921</v>
      </c>
      <c r="G953" t="s">
        <v>1921</v>
      </c>
      <c r="H953">
        <v>0</v>
      </c>
      <c r="I953">
        <v>363.082193</v>
      </c>
      <c r="J953">
        <v>0</v>
      </c>
      <c r="K953" t="s">
        <v>1921</v>
      </c>
      <c r="L953">
        <v>2.113318643515794</v>
      </c>
      <c r="M953">
        <v>40.73</v>
      </c>
      <c r="N953">
        <v>5.56</v>
      </c>
    </row>
    <row r="954" spans="1:14">
      <c r="A954" s="1" t="s">
        <v>966</v>
      </c>
      <c r="B954">
        <f>HYPERLINK("https://www.suredividend.com/sure-analysis-research-database/","Lazydays Holdings Inc")</f>
        <v>0</v>
      </c>
      <c r="C954" t="s">
        <v>1927</v>
      </c>
      <c r="D954">
        <v>12.78</v>
      </c>
      <c r="E954">
        <v>0</v>
      </c>
      <c r="F954" t="s">
        <v>1921</v>
      </c>
      <c r="G954" t="s">
        <v>1921</v>
      </c>
      <c r="H954">
        <v>0</v>
      </c>
      <c r="I954">
        <v>134.659064</v>
      </c>
      <c r="J954">
        <v>0</v>
      </c>
      <c r="K954" t="s">
        <v>1921</v>
      </c>
      <c r="L954">
        <v>0.719062187856581</v>
      </c>
      <c r="M954">
        <v>22.48</v>
      </c>
      <c r="N954">
        <v>11.25</v>
      </c>
    </row>
    <row r="955" spans="1:14">
      <c r="A955" s="1" t="s">
        <v>967</v>
      </c>
      <c r="B955">
        <f>HYPERLINK("https://www.suredividend.com/sure-analysis-research-database/","Lakeland Bancorp, Inc.")</f>
        <v>0</v>
      </c>
      <c r="C955" t="s">
        <v>1923</v>
      </c>
      <c r="D955">
        <v>17.8</v>
      </c>
      <c r="E955">
        <v>0.031616043919506</v>
      </c>
      <c r="F955" t="s">
        <v>1921</v>
      </c>
      <c r="G955" t="s">
        <v>1921</v>
      </c>
      <c r="H955">
        <v>0.562765581767214</v>
      </c>
      <c r="I955">
        <v>1153.610506</v>
      </c>
      <c r="J955">
        <v>12.16940067302418</v>
      </c>
      <c r="K955">
        <v>0.3630745688820736</v>
      </c>
      <c r="L955">
        <v>0.6336885372172371</v>
      </c>
      <c r="M955">
        <v>19.91</v>
      </c>
      <c r="N955">
        <v>13.67</v>
      </c>
    </row>
    <row r="956" spans="1:14">
      <c r="A956" s="1" t="s">
        <v>968</v>
      </c>
      <c r="B956">
        <f>HYPERLINK("https://www.suredividend.com/sure-analysis-research-database/","Luther Burbank Corp")</f>
        <v>0</v>
      </c>
      <c r="C956" t="s">
        <v>1923</v>
      </c>
      <c r="D956">
        <v>11.08</v>
      </c>
      <c r="E956">
        <v>0.042716509320152</v>
      </c>
      <c r="F956">
        <v>0</v>
      </c>
      <c r="G956">
        <v>0.5157165665103982</v>
      </c>
      <c r="H956">
        <v>0.473298923267285</v>
      </c>
      <c r="I956">
        <v>565.906623</v>
      </c>
      <c r="J956">
        <v>0</v>
      </c>
      <c r="K956" t="s">
        <v>1921</v>
      </c>
      <c r="L956">
        <v>0.528778059102326</v>
      </c>
      <c r="M956">
        <v>14.16</v>
      </c>
      <c r="N956">
        <v>10.69</v>
      </c>
    </row>
    <row r="957" spans="1:14">
      <c r="A957" s="1" t="s">
        <v>969</v>
      </c>
      <c r="B957">
        <f>HYPERLINK("https://www.suredividend.com/sure-analysis-research-database/","Liberty Energy Inc")</f>
        <v>0</v>
      </c>
      <c r="C957" t="s">
        <v>1926</v>
      </c>
      <c r="D957">
        <v>15.75</v>
      </c>
      <c r="E957">
        <v>0.003174603221908</v>
      </c>
      <c r="F957" t="s">
        <v>1921</v>
      </c>
      <c r="G957" t="s">
        <v>1921</v>
      </c>
      <c r="H957">
        <v>0.050000000745058</v>
      </c>
      <c r="I957">
        <v>2869.001415</v>
      </c>
      <c r="J957">
        <v>15.00963365316201</v>
      </c>
      <c r="K957">
        <v>0.04901960857358627</v>
      </c>
      <c r="L957">
        <v>0.8996031167830971</v>
      </c>
      <c r="M957">
        <v>19.99</v>
      </c>
      <c r="N957">
        <v>10.42</v>
      </c>
    </row>
    <row r="958" spans="1:14">
      <c r="A958" s="1" t="s">
        <v>970</v>
      </c>
      <c r="B958">
        <f>HYPERLINK("https://www.suredividend.com/sure-analysis-research-database/","LendingClub Corp")</f>
        <v>0</v>
      </c>
      <c r="C958" t="s">
        <v>1923</v>
      </c>
      <c r="D958">
        <v>8.69</v>
      </c>
      <c r="E958">
        <v>0</v>
      </c>
      <c r="F958" t="s">
        <v>1921</v>
      </c>
      <c r="G958" t="s">
        <v>1921</v>
      </c>
      <c r="H958">
        <v>0</v>
      </c>
      <c r="I958">
        <v>913.220768</v>
      </c>
      <c r="J958">
        <v>3.107313413135348</v>
      </c>
      <c r="K958">
        <v>0</v>
      </c>
      <c r="L958">
        <v>2.066980792063862</v>
      </c>
      <c r="M958">
        <v>26.87</v>
      </c>
      <c r="N958">
        <v>8.24</v>
      </c>
    </row>
    <row r="959" spans="1:14">
      <c r="A959" s="1" t="s">
        <v>971</v>
      </c>
      <c r="B959">
        <f>HYPERLINK("https://www.suredividend.com/sure-analysis-research-database/","LCI Industries")</f>
        <v>0</v>
      </c>
      <c r="C959" t="s">
        <v>1927</v>
      </c>
      <c r="D959">
        <v>105.45</v>
      </c>
      <c r="E959">
        <v>0.037863203486111</v>
      </c>
      <c r="F959">
        <v>0.1666666666666667</v>
      </c>
      <c r="G959">
        <v>0.1380604263098537</v>
      </c>
      <c r="H959">
        <v>3.992674807610446</v>
      </c>
      <c r="I959">
        <v>2681.624397</v>
      </c>
      <c r="J959">
        <v>5.423646521361887</v>
      </c>
      <c r="K959">
        <v>0.2062332028724404</v>
      </c>
      <c r="L959">
        <v>1.309023981631791</v>
      </c>
      <c r="M959">
        <v>146.24</v>
      </c>
      <c r="N959">
        <v>88.33</v>
      </c>
    </row>
    <row r="960" spans="1:14">
      <c r="A960" s="1" t="s">
        <v>972</v>
      </c>
      <c r="B960">
        <f>HYPERLINK("https://www.suredividend.com/sure-analysis-research-database/","Lineage Cell Therapeutics Inc")</f>
        <v>0</v>
      </c>
      <c r="C960" t="s">
        <v>1922</v>
      </c>
      <c r="D960">
        <v>1.38</v>
      </c>
      <c r="E960">
        <v>0</v>
      </c>
      <c r="F960" t="s">
        <v>1921</v>
      </c>
      <c r="G960" t="s">
        <v>1921</v>
      </c>
      <c r="H960">
        <v>0</v>
      </c>
      <c r="I960">
        <v>234.567342</v>
      </c>
      <c r="J960" t="s">
        <v>1921</v>
      </c>
      <c r="K960">
        <v>-0</v>
      </c>
      <c r="L960">
        <v>0.9813097155597471</v>
      </c>
      <c r="M960">
        <v>2.15</v>
      </c>
      <c r="N960">
        <v>1.02</v>
      </c>
    </row>
    <row r="961" spans="1:14">
      <c r="A961" s="1" t="s">
        <v>973</v>
      </c>
      <c r="B961">
        <f>HYPERLINK("https://www.suredividend.com/sure-analysis-research-database/","Lifetime Brands, Inc.")</f>
        <v>0</v>
      </c>
      <c r="C961" t="s">
        <v>1927</v>
      </c>
      <c r="D961">
        <v>7.64</v>
      </c>
      <c r="E961">
        <v>0.022108257034274</v>
      </c>
      <c r="F961">
        <v>0</v>
      </c>
      <c r="G961">
        <v>0</v>
      </c>
      <c r="H961">
        <v>0.168907083741855</v>
      </c>
      <c r="I961">
        <v>168.112608</v>
      </c>
      <c r="J961" t="s">
        <v>1921</v>
      </c>
      <c r="K961" t="s">
        <v>1921</v>
      </c>
      <c r="L961">
        <v>0.9906520203904551</v>
      </c>
      <c r="M961">
        <v>16.2</v>
      </c>
      <c r="N961">
        <v>6.35</v>
      </c>
    </row>
    <row r="962" spans="1:14">
      <c r="A962" s="1" t="s">
        <v>974</v>
      </c>
      <c r="B962">
        <f>HYPERLINK("https://www.suredividend.com/sure-analysis-research-database/","Lands` End, Inc.")</f>
        <v>0</v>
      </c>
      <c r="C962" t="s">
        <v>1927</v>
      </c>
      <c r="D962">
        <v>8.369999999999999</v>
      </c>
      <c r="E962">
        <v>0</v>
      </c>
      <c r="F962" t="s">
        <v>1921</v>
      </c>
      <c r="G962" t="s">
        <v>1921</v>
      </c>
      <c r="H962">
        <v>0</v>
      </c>
      <c r="I962">
        <v>276.228766</v>
      </c>
      <c r="J962">
        <v>0</v>
      </c>
      <c r="K962" t="s">
        <v>1921</v>
      </c>
      <c r="L962">
        <v>1.51791493576547</v>
      </c>
      <c r="M962">
        <v>21.12</v>
      </c>
      <c r="N962">
        <v>6.61</v>
      </c>
    </row>
    <row r="963" spans="1:14">
      <c r="A963" s="1" t="s">
        <v>975</v>
      </c>
      <c r="B963">
        <f>HYPERLINK("https://www.suredividend.com/sure-analysis-research-database/","Legacy Housing Corp")</f>
        <v>0</v>
      </c>
      <c r="C963" t="s">
        <v>1927</v>
      </c>
      <c r="D963">
        <v>18.71</v>
      </c>
      <c r="E963">
        <v>0</v>
      </c>
      <c r="F963" t="s">
        <v>1921</v>
      </c>
      <c r="G963" t="s">
        <v>1921</v>
      </c>
      <c r="H963">
        <v>0</v>
      </c>
      <c r="I963">
        <v>456.636634</v>
      </c>
      <c r="J963">
        <v>0</v>
      </c>
      <c r="K963" t="s">
        <v>1921</v>
      </c>
      <c r="L963">
        <v>0.8096760793610781</v>
      </c>
      <c r="M963">
        <v>27.79</v>
      </c>
      <c r="N963">
        <v>11.96</v>
      </c>
    </row>
    <row r="964" spans="1:14">
      <c r="A964" s="1" t="s">
        <v>976</v>
      </c>
      <c r="B964">
        <f>HYPERLINK("https://www.suredividend.com/sure-analysis-research-database/","Centrus Energy Corp")</f>
        <v>0</v>
      </c>
      <c r="C964" t="s">
        <v>1926</v>
      </c>
      <c r="D964">
        <v>35.29</v>
      </c>
      <c r="E964">
        <v>0</v>
      </c>
      <c r="F964" t="s">
        <v>1921</v>
      </c>
      <c r="G964" t="s">
        <v>1921</v>
      </c>
      <c r="H964">
        <v>0</v>
      </c>
      <c r="I964">
        <v>487.727421</v>
      </c>
      <c r="J964">
        <v>4.20092524754522</v>
      </c>
      <c r="K964">
        <v>0</v>
      </c>
      <c r="L964">
        <v>2.267817823551515</v>
      </c>
      <c r="M964">
        <v>55.77</v>
      </c>
      <c r="N964">
        <v>17.36</v>
      </c>
    </row>
    <row r="965" spans="1:14">
      <c r="A965" s="1" t="s">
        <v>977</v>
      </c>
      <c r="B965">
        <f>HYPERLINK("https://www.suredividend.com/sure-analysis-research-database/","LifeStance Health Group Inc")</f>
        <v>0</v>
      </c>
      <c r="C965" t="s">
        <v>1921</v>
      </c>
      <c r="D965">
        <v>4.96</v>
      </c>
      <c r="E965">
        <v>0</v>
      </c>
      <c r="F965" t="s">
        <v>1921</v>
      </c>
      <c r="G965" t="s">
        <v>1921</v>
      </c>
      <c r="H965">
        <v>0</v>
      </c>
      <c r="I965">
        <v>1864.892574</v>
      </c>
      <c r="J965">
        <v>0</v>
      </c>
      <c r="K965" t="s">
        <v>1921</v>
      </c>
      <c r="L965">
        <v>1.932405729236306</v>
      </c>
      <c r="M965">
        <v>11.25</v>
      </c>
      <c r="N965">
        <v>4.22</v>
      </c>
    </row>
    <row r="966" spans="1:14">
      <c r="A966" s="1" t="s">
        <v>978</v>
      </c>
      <c r="B966">
        <f>HYPERLINK("https://www.suredividend.com/sure-analysis-research-database/","Lions Gate Entertainment Corp.")</f>
        <v>0</v>
      </c>
      <c r="C966" t="s">
        <v>1921</v>
      </c>
      <c r="D966">
        <v>9.35</v>
      </c>
      <c r="E966">
        <v>0</v>
      </c>
      <c r="F966" t="s">
        <v>1921</v>
      </c>
      <c r="G966" t="s">
        <v>1921</v>
      </c>
      <c r="H966">
        <v>0</v>
      </c>
      <c r="I966">
        <v>2049.355591</v>
      </c>
      <c r="J966">
        <v>0</v>
      </c>
      <c r="K966" t="s">
        <v>1921</v>
      </c>
      <c r="L966">
        <v>0.807271672905977</v>
      </c>
    </row>
    <row r="967" spans="1:14">
      <c r="A967" s="1" t="s">
        <v>979</v>
      </c>
      <c r="B967">
        <f>HYPERLINK("https://www.suredividend.com/sure-analysis-research-database/","Lions Gate Entertainment Corp.")</f>
        <v>0</v>
      </c>
      <c r="C967" t="s">
        <v>1921</v>
      </c>
      <c r="D967">
        <v>8.92</v>
      </c>
      <c r="E967">
        <v>0</v>
      </c>
      <c r="F967" t="s">
        <v>1921</v>
      </c>
      <c r="G967" t="s">
        <v>1921</v>
      </c>
      <c r="H967">
        <v>0</v>
      </c>
      <c r="I967">
        <v>2049.355591</v>
      </c>
      <c r="J967">
        <v>0</v>
      </c>
      <c r="K967" t="s">
        <v>1921</v>
      </c>
      <c r="L967">
        <v>0.8090199593175621</v>
      </c>
    </row>
    <row r="968" spans="1:14">
      <c r="A968" s="1" t="s">
        <v>980</v>
      </c>
      <c r="B968">
        <f>HYPERLINK("https://www.suredividend.com/sure-analysis-research-database/","LGI Homes Inc")</f>
        <v>0</v>
      </c>
      <c r="C968" t="s">
        <v>1927</v>
      </c>
      <c r="D968">
        <v>101.5</v>
      </c>
      <c r="E968">
        <v>0</v>
      </c>
      <c r="F968" t="s">
        <v>1921</v>
      </c>
      <c r="G968" t="s">
        <v>1921</v>
      </c>
      <c r="H968">
        <v>0</v>
      </c>
      <c r="I968">
        <v>2363.964029</v>
      </c>
      <c r="J968">
        <v>5.854946759792448</v>
      </c>
      <c r="K968">
        <v>0</v>
      </c>
      <c r="L968">
        <v>1.459686069568325</v>
      </c>
      <c r="M968">
        <v>141.85</v>
      </c>
      <c r="N968">
        <v>71.73</v>
      </c>
    </row>
    <row r="969" spans="1:14">
      <c r="A969" s="1" t="s">
        <v>981</v>
      </c>
      <c r="B969">
        <f>HYPERLINK("https://www.suredividend.com/sure-analysis-research-database/","Ligand Pharmaceuticals, Inc.")</f>
        <v>0</v>
      </c>
      <c r="C969" t="s">
        <v>1922</v>
      </c>
      <c r="D969">
        <v>67.03</v>
      </c>
      <c r="E969">
        <v>0</v>
      </c>
      <c r="F969" t="s">
        <v>1921</v>
      </c>
      <c r="G969" t="s">
        <v>1921</v>
      </c>
      <c r="H969">
        <v>0</v>
      </c>
      <c r="I969">
        <v>1132.3766</v>
      </c>
      <c r="J969" t="s">
        <v>1921</v>
      </c>
      <c r="K969">
        <v>-0</v>
      </c>
      <c r="M969">
        <v>149.15</v>
      </c>
      <c r="N969">
        <v>60.12</v>
      </c>
    </row>
    <row r="970" spans="1:14">
      <c r="A970" s="1" t="s">
        <v>982</v>
      </c>
      <c r="B970">
        <f>HYPERLINK("https://www.suredividend.com/sure-analysis-research-database/","LHC Group Inc")</f>
        <v>0</v>
      </c>
      <c r="C970" t="s">
        <v>1922</v>
      </c>
      <c r="D970">
        <v>162.8</v>
      </c>
      <c r="E970">
        <v>0</v>
      </c>
      <c r="F970" t="s">
        <v>1921</v>
      </c>
      <c r="G970" t="s">
        <v>1921</v>
      </c>
      <c r="H970">
        <v>0</v>
      </c>
      <c r="I970">
        <v>5052.172726</v>
      </c>
      <c r="J970">
        <v>80.14360515871127</v>
      </c>
      <c r="K970">
        <v>0</v>
      </c>
      <c r="L970">
        <v>0.331373116043042</v>
      </c>
      <c r="M970">
        <v>169.84</v>
      </c>
      <c r="N970">
        <v>112.26</v>
      </c>
    </row>
    <row r="971" spans="1:14">
      <c r="A971" s="1" t="s">
        <v>983</v>
      </c>
      <c r="B971">
        <f>HYPERLINK("https://www.suredividend.com/sure-analysis-research-database/","Liberty Latin America Ltd")</f>
        <v>0</v>
      </c>
      <c r="C971" t="s">
        <v>1931</v>
      </c>
      <c r="D971">
        <v>8.529999999999999</v>
      </c>
      <c r="E971">
        <v>0</v>
      </c>
      <c r="F971" t="s">
        <v>1921</v>
      </c>
      <c r="G971" t="s">
        <v>1921</v>
      </c>
      <c r="H971">
        <v>0</v>
      </c>
      <c r="I971">
        <v>1842.183425</v>
      </c>
      <c r="J971">
        <v>0</v>
      </c>
      <c r="K971" t="s">
        <v>1921</v>
      </c>
      <c r="L971">
        <v>1.271314379024929</v>
      </c>
      <c r="M971">
        <v>11.9</v>
      </c>
      <c r="N971">
        <v>5.9</v>
      </c>
    </row>
    <row r="972" spans="1:14">
      <c r="A972" s="1" t="s">
        <v>984</v>
      </c>
      <c r="B972">
        <f>HYPERLINK("https://www.suredividend.com/sure-analysis-research-database/","Liberty Latin America Ltd")</f>
        <v>0</v>
      </c>
      <c r="C972" t="s">
        <v>1931</v>
      </c>
      <c r="D972">
        <v>8.56</v>
      </c>
      <c r="E972">
        <v>0</v>
      </c>
      <c r="F972" t="s">
        <v>1921</v>
      </c>
      <c r="G972" t="s">
        <v>1921</v>
      </c>
      <c r="H972">
        <v>0</v>
      </c>
      <c r="I972">
        <v>1842.183425</v>
      </c>
      <c r="J972">
        <v>0</v>
      </c>
      <c r="K972" t="s">
        <v>1921</v>
      </c>
      <c r="L972">
        <v>1.308076230504221</v>
      </c>
      <c r="M972">
        <v>11.66</v>
      </c>
      <c r="N972">
        <v>5.88</v>
      </c>
    </row>
    <row r="973" spans="1:14">
      <c r="A973" s="1" t="s">
        <v>985</v>
      </c>
      <c r="B973">
        <f>HYPERLINK("https://www.suredividend.com/sure-analysis-research-database/","Lindblad Expeditions Holdings Inc")</f>
        <v>0</v>
      </c>
      <c r="C973" t="s">
        <v>1927</v>
      </c>
      <c r="D973">
        <v>9.140000000000001</v>
      </c>
      <c r="E973">
        <v>0</v>
      </c>
      <c r="F973" t="s">
        <v>1921</v>
      </c>
      <c r="G973" t="s">
        <v>1921</v>
      </c>
      <c r="H973">
        <v>0</v>
      </c>
      <c r="I973">
        <v>485.710531</v>
      </c>
      <c r="J973">
        <v>0</v>
      </c>
      <c r="K973" t="s">
        <v>1921</v>
      </c>
      <c r="L973">
        <v>1.907405784086828</v>
      </c>
      <c r="M973">
        <v>19.13</v>
      </c>
      <c r="N973">
        <v>5.91</v>
      </c>
    </row>
    <row r="974" spans="1:14">
      <c r="A974" s="1" t="s">
        <v>986</v>
      </c>
      <c r="B974">
        <f>HYPERLINK("https://www.suredividend.com/sure-analysis-research-database/","LivaNova PLC")</f>
        <v>0</v>
      </c>
      <c r="C974" t="s">
        <v>1922</v>
      </c>
      <c r="D974">
        <v>55.95</v>
      </c>
      <c r="E974">
        <v>0</v>
      </c>
      <c r="F974" t="s">
        <v>1921</v>
      </c>
      <c r="G974" t="s">
        <v>1921</v>
      </c>
      <c r="H974">
        <v>0</v>
      </c>
      <c r="I974">
        <v>2994.595233</v>
      </c>
      <c r="J974" t="s">
        <v>1921</v>
      </c>
      <c r="K974">
        <v>-0</v>
      </c>
      <c r="L974">
        <v>0.9619219112101951</v>
      </c>
      <c r="M974">
        <v>88</v>
      </c>
      <c r="N974">
        <v>41.82</v>
      </c>
    </row>
    <row r="975" spans="1:14">
      <c r="A975" s="1" t="s">
        <v>987</v>
      </c>
      <c r="B975">
        <f>HYPERLINK("https://www.suredividend.com/sure-analysis-research-database/","Lakeland Financial Corp.")</f>
        <v>0</v>
      </c>
      <c r="C975" t="s">
        <v>1923</v>
      </c>
      <c r="D975">
        <v>72</v>
      </c>
      <c r="E975">
        <v>0.022042953514969</v>
      </c>
      <c r="F975">
        <v>0.1764705882352942</v>
      </c>
      <c r="G975">
        <v>0.08997698704834534</v>
      </c>
      <c r="H975">
        <v>1.587092653077787</v>
      </c>
      <c r="I975">
        <v>1825.209648</v>
      </c>
      <c r="J975">
        <v>17.8726599101084</v>
      </c>
      <c r="K975">
        <v>0.3997714491379817</v>
      </c>
      <c r="L975">
        <v>0.427796346622241</v>
      </c>
      <c r="M975">
        <v>83.91</v>
      </c>
      <c r="N975">
        <v>63.35</v>
      </c>
    </row>
    <row r="976" spans="1:14">
      <c r="A976" s="1" t="s">
        <v>988</v>
      </c>
      <c r="B976">
        <f>HYPERLINK("https://www.suredividend.com/sure-analysis-research-database/","LL Flooring Holdings Inc")</f>
        <v>0</v>
      </c>
      <c r="C976" t="s">
        <v>1927</v>
      </c>
      <c r="D976">
        <v>5.56</v>
      </c>
      <c r="E976">
        <v>0</v>
      </c>
      <c r="F976" t="s">
        <v>1921</v>
      </c>
      <c r="G976" t="s">
        <v>1921</v>
      </c>
      <c r="H976">
        <v>0</v>
      </c>
      <c r="I976">
        <v>162.918447</v>
      </c>
      <c r="J976">
        <v>12.24306359359735</v>
      </c>
      <c r="K976">
        <v>0</v>
      </c>
      <c r="L976">
        <v>1.099621964315278</v>
      </c>
      <c r="M976">
        <v>17.37</v>
      </c>
      <c r="N976">
        <v>5.15</v>
      </c>
    </row>
    <row r="977" spans="1:14">
      <c r="A977" s="1" t="s">
        <v>989</v>
      </c>
      <c r="B977">
        <f>HYPERLINK("https://www.suredividend.com/sure-analysis-research-database/","Limelight Networks Inc")</f>
        <v>0</v>
      </c>
      <c r="C977" t="s">
        <v>1920</v>
      </c>
      <c r="D977">
        <v>2.46</v>
      </c>
      <c r="E977">
        <v>0</v>
      </c>
      <c r="F977" t="s">
        <v>1921</v>
      </c>
      <c r="G977" t="s">
        <v>1921</v>
      </c>
      <c r="H977">
        <v>0</v>
      </c>
      <c r="I977">
        <v>339.956399</v>
      </c>
      <c r="J977" t="s">
        <v>1921</v>
      </c>
      <c r="K977">
        <v>-0</v>
      </c>
      <c r="L977">
        <v>0.518385305096123</v>
      </c>
      <c r="M977">
        <v>5.55</v>
      </c>
      <c r="N977">
        <v>2.3</v>
      </c>
    </row>
    <row r="978" spans="1:14">
      <c r="A978" s="1" t="s">
        <v>990</v>
      </c>
      <c r="B978">
        <f>HYPERLINK("https://www.suredividend.com/sure-analysis-research-database/","Lemaitre Vascular Inc")</f>
        <v>0</v>
      </c>
      <c r="C978" t="s">
        <v>1922</v>
      </c>
      <c r="D978">
        <v>44.77</v>
      </c>
      <c r="E978">
        <v>0.011124034604279</v>
      </c>
      <c r="F978">
        <v>0.1363636363636365</v>
      </c>
      <c r="G978">
        <v>0.1229551070568209</v>
      </c>
      <c r="H978">
        <v>0.498023029233589</v>
      </c>
      <c r="I978">
        <v>984.9793979999999</v>
      </c>
      <c r="J978">
        <v>0</v>
      </c>
      <c r="K978" t="s">
        <v>1921</v>
      </c>
      <c r="L978">
        <v>0.8253556853965831</v>
      </c>
      <c r="M978">
        <v>56.09</v>
      </c>
      <c r="N978">
        <v>38.01</v>
      </c>
    </row>
    <row r="979" spans="1:14">
      <c r="A979" s="1" t="s">
        <v>991</v>
      </c>
      <c r="B979">
        <f>HYPERLINK("https://www.suredividend.com/sure-analysis-research-database/","Limoneira Co")</f>
        <v>0</v>
      </c>
      <c r="C979" t="s">
        <v>1928</v>
      </c>
      <c r="D979">
        <v>12.72</v>
      </c>
      <c r="E979">
        <v>0.023379673310857</v>
      </c>
      <c r="F979">
        <v>0</v>
      </c>
      <c r="G979">
        <v>0.03713728933664817</v>
      </c>
      <c r="H979">
        <v>0.297389444514108</v>
      </c>
      <c r="I979">
        <v>224.944487</v>
      </c>
      <c r="J979" t="s">
        <v>1921</v>
      </c>
      <c r="K979" t="s">
        <v>1921</v>
      </c>
      <c r="L979">
        <v>0.380861174733573</v>
      </c>
      <c r="M979">
        <v>15.92</v>
      </c>
      <c r="N979">
        <v>10.26</v>
      </c>
    </row>
    <row r="980" spans="1:14">
      <c r="A980" s="1" t="s">
        <v>992</v>
      </c>
      <c r="B980">
        <f>HYPERLINK("https://www.suredividend.com/sure-analysis-research-database/","Lifecore Biomedical Inc")</f>
        <v>0</v>
      </c>
      <c r="C980" t="s">
        <v>1928</v>
      </c>
      <c r="D980">
        <v>9.210000000000001</v>
      </c>
      <c r="E980">
        <v>0</v>
      </c>
      <c r="F980" t="s">
        <v>1921</v>
      </c>
      <c r="G980" t="s">
        <v>1921</v>
      </c>
      <c r="H980">
        <v>0</v>
      </c>
      <c r="I980">
        <v>259.257053</v>
      </c>
      <c r="J980" t="s">
        <v>1921</v>
      </c>
      <c r="K980">
        <v>-0</v>
      </c>
      <c r="L980">
        <v>0.685036741269009</v>
      </c>
      <c r="M980">
        <v>12.04</v>
      </c>
      <c r="N980">
        <v>7.65</v>
      </c>
    </row>
    <row r="981" spans="1:14">
      <c r="A981" s="1" t="s">
        <v>993</v>
      </c>
      <c r="B981">
        <f>HYPERLINK("https://www.suredividend.com/sure-analysis-LNN/","Lindsay Corporation")</f>
        <v>0</v>
      </c>
      <c r="C981" t="s">
        <v>1924</v>
      </c>
      <c r="D981">
        <v>149.1</v>
      </c>
      <c r="E981">
        <v>0.009121395036887995</v>
      </c>
      <c r="F981" t="s">
        <v>1921</v>
      </c>
      <c r="G981" t="s">
        <v>1921</v>
      </c>
      <c r="H981">
        <v>1.335783011559651</v>
      </c>
      <c r="I981">
        <v>1641.121633</v>
      </c>
      <c r="J981">
        <v>21.65496646038135</v>
      </c>
      <c r="K981">
        <v>0.1947205556209404</v>
      </c>
      <c r="L981">
        <v>0.7676079853847071</v>
      </c>
      <c r="M981">
        <v>183.08</v>
      </c>
      <c r="N981">
        <v>116.3</v>
      </c>
    </row>
    <row r="982" spans="1:14">
      <c r="A982" s="1" t="s">
        <v>994</v>
      </c>
      <c r="B982">
        <f>HYPERLINK("https://www.suredividend.com/sure-analysis-research-database/","Lantheus Holdings Inc")</f>
        <v>0</v>
      </c>
      <c r="C982" t="s">
        <v>1922</v>
      </c>
      <c r="D982">
        <v>47.76</v>
      </c>
      <c r="E982">
        <v>0</v>
      </c>
      <c r="F982" t="s">
        <v>1921</v>
      </c>
      <c r="G982" t="s">
        <v>1921</v>
      </c>
      <c r="H982">
        <v>0</v>
      </c>
      <c r="I982">
        <v>3287.420523</v>
      </c>
      <c r="J982">
        <v>30.71293592757644</v>
      </c>
      <c r="K982">
        <v>0</v>
      </c>
      <c r="L982">
        <v>1.295973934360801</v>
      </c>
      <c r="M982">
        <v>87.47</v>
      </c>
      <c r="N982">
        <v>23.51</v>
      </c>
    </row>
    <row r="983" spans="1:14">
      <c r="A983" s="1" t="s">
        <v>995</v>
      </c>
      <c r="B983">
        <f>HYPERLINK("https://www.suredividend.com/sure-analysis-research-database/","Live Oak Bancshares Inc")</f>
        <v>0</v>
      </c>
      <c r="C983" t="s">
        <v>1923</v>
      </c>
      <c r="D983">
        <v>31.1</v>
      </c>
      <c r="E983">
        <v>0.003853455665547</v>
      </c>
      <c r="F983">
        <v>0</v>
      </c>
      <c r="G983">
        <v>0</v>
      </c>
      <c r="H983">
        <v>0.119842471198529</v>
      </c>
      <c r="I983">
        <v>1367.91484</v>
      </c>
      <c r="J983">
        <v>6.687010065358839</v>
      </c>
      <c r="K983">
        <v>0.02639702008778172</v>
      </c>
      <c r="L983">
        <v>1.520204311390748</v>
      </c>
      <c r="M983">
        <v>85.54000000000001</v>
      </c>
      <c r="N983">
        <v>27.5</v>
      </c>
    </row>
    <row r="984" spans="1:14">
      <c r="A984" s="1" t="s">
        <v>996</v>
      </c>
      <c r="B984">
        <f>HYPERLINK("https://www.suredividend.com/sure-analysis-research-database/","El Pollo Loco Holdings Inc")</f>
        <v>0</v>
      </c>
      <c r="C984" t="s">
        <v>1927</v>
      </c>
      <c r="D984">
        <v>10.29</v>
      </c>
      <c r="E984">
        <v>0</v>
      </c>
      <c r="F984" t="s">
        <v>1921</v>
      </c>
      <c r="G984" t="s">
        <v>1921</v>
      </c>
      <c r="H984">
        <v>0</v>
      </c>
      <c r="I984">
        <v>381.236083</v>
      </c>
      <c r="J984">
        <v>18.64873466614489</v>
      </c>
      <c r="K984">
        <v>0</v>
      </c>
      <c r="L984">
        <v>0.9100903163498031</v>
      </c>
      <c r="M984">
        <v>12.52</v>
      </c>
      <c r="N984">
        <v>7.06</v>
      </c>
    </row>
    <row r="985" spans="1:14">
      <c r="A985" s="1" t="s">
        <v>997</v>
      </c>
      <c r="B985">
        <f>HYPERLINK("https://www.suredividend.com/sure-analysis-research-database/","CarLotz Inc")</f>
        <v>0</v>
      </c>
      <c r="C985" t="s">
        <v>1921</v>
      </c>
      <c r="D985">
        <v>0.148</v>
      </c>
      <c r="E985">
        <v>0</v>
      </c>
      <c r="F985" t="s">
        <v>1921</v>
      </c>
      <c r="G985" t="s">
        <v>1921</v>
      </c>
      <c r="H985">
        <v>0</v>
      </c>
      <c r="I985">
        <v>0</v>
      </c>
      <c r="J985">
        <v>0</v>
      </c>
      <c r="K985" t="s">
        <v>1921</v>
      </c>
    </row>
    <row r="986" spans="1:14">
      <c r="A986" s="1" t="s">
        <v>998</v>
      </c>
      <c r="B986">
        <f>HYPERLINK("https://www.suredividend.com/sure-analysis-research-database/","Lovesac Company")</f>
        <v>0</v>
      </c>
      <c r="C986" t="s">
        <v>1927</v>
      </c>
      <c r="D986">
        <v>26.41</v>
      </c>
      <c r="E986">
        <v>0</v>
      </c>
      <c r="F986" t="s">
        <v>1921</v>
      </c>
      <c r="G986" t="s">
        <v>1921</v>
      </c>
      <c r="H986">
        <v>0</v>
      </c>
      <c r="I986">
        <v>401.232393</v>
      </c>
      <c r="J986">
        <v>0</v>
      </c>
      <c r="K986" t="s">
        <v>1921</v>
      </c>
      <c r="L986">
        <v>1.94420402608071</v>
      </c>
      <c r="M986">
        <v>63.41</v>
      </c>
      <c r="N986">
        <v>17.6</v>
      </c>
    </row>
    <row r="987" spans="1:14">
      <c r="A987" s="1" t="s">
        <v>999</v>
      </c>
      <c r="B987">
        <f>HYPERLINK("https://www.suredividend.com/sure-analysis-research-database/","Dorian LPG Ltd")</f>
        <v>0</v>
      </c>
      <c r="C987" t="s">
        <v>1926</v>
      </c>
      <c r="D987">
        <v>16.58</v>
      </c>
      <c r="E987">
        <v>0</v>
      </c>
      <c r="F987" t="s">
        <v>1921</v>
      </c>
      <c r="G987" t="s">
        <v>1921</v>
      </c>
      <c r="H987">
        <v>0</v>
      </c>
      <c r="I987">
        <v>669.01187</v>
      </c>
      <c r="J987">
        <v>0</v>
      </c>
      <c r="K987" t="s">
        <v>1921</v>
      </c>
      <c r="L987">
        <v>0.425387920294743</v>
      </c>
      <c r="M987">
        <v>21.07</v>
      </c>
      <c r="N987">
        <v>8.25</v>
      </c>
    </row>
    <row r="988" spans="1:14">
      <c r="A988" s="1" t="s">
        <v>1000</v>
      </c>
      <c r="B988">
        <f>HYPERLINK("https://www.suredividend.com/sure-analysis-research-database/","Laredo Petroleum Inc.")</f>
        <v>0</v>
      </c>
      <c r="C988" t="s">
        <v>1926</v>
      </c>
      <c r="D988">
        <v>48.09</v>
      </c>
      <c r="E988">
        <v>0</v>
      </c>
      <c r="F988" t="s">
        <v>1921</v>
      </c>
      <c r="G988" t="s">
        <v>1921</v>
      </c>
      <c r="H988">
        <v>0</v>
      </c>
      <c r="I988">
        <v>808.563139</v>
      </c>
      <c r="J988">
        <v>1.108282671019951</v>
      </c>
      <c r="K988">
        <v>0</v>
      </c>
      <c r="L988">
        <v>1.30156412266449</v>
      </c>
      <c r="M988">
        <v>120.86</v>
      </c>
      <c r="N988">
        <v>46.61</v>
      </c>
    </row>
    <row r="989" spans="1:14">
      <c r="A989" s="1" t="s">
        <v>1001</v>
      </c>
      <c r="B989">
        <f>HYPERLINK("https://www.suredividend.com/sure-analysis-research-database/","Open Lending Corp")</f>
        <v>0</v>
      </c>
      <c r="C989" t="s">
        <v>1921</v>
      </c>
      <c r="D989">
        <v>7.29</v>
      </c>
      <c r="E989">
        <v>0</v>
      </c>
      <c r="F989" t="s">
        <v>1921</v>
      </c>
      <c r="G989" t="s">
        <v>1921</v>
      </c>
      <c r="H989">
        <v>0</v>
      </c>
      <c r="I989">
        <v>920.729209</v>
      </c>
      <c r="J989">
        <v>0</v>
      </c>
      <c r="K989" t="s">
        <v>1921</v>
      </c>
      <c r="L989">
        <v>1.932313511545536</v>
      </c>
      <c r="M989">
        <v>22.39</v>
      </c>
      <c r="N989">
        <v>6.11</v>
      </c>
    </row>
    <row r="990" spans="1:14">
      <c r="A990" s="1" t="s">
        <v>1002</v>
      </c>
      <c r="B990">
        <f>HYPERLINK("https://www.suredividend.com/sure-analysis-research-database/","Liveperson Inc")</f>
        <v>0</v>
      </c>
      <c r="C990" t="s">
        <v>1920</v>
      </c>
      <c r="D990">
        <v>10.72</v>
      </c>
      <c r="E990">
        <v>0</v>
      </c>
      <c r="F990" t="s">
        <v>1921</v>
      </c>
      <c r="G990" t="s">
        <v>1921</v>
      </c>
      <c r="H990">
        <v>0</v>
      </c>
      <c r="I990">
        <v>807.516889</v>
      </c>
      <c r="J990" t="s">
        <v>1921</v>
      </c>
      <c r="K990">
        <v>-0</v>
      </c>
      <c r="L990">
        <v>2.034224619110228</v>
      </c>
      <c r="M990">
        <v>34.5</v>
      </c>
      <c r="N990">
        <v>7.96</v>
      </c>
    </row>
    <row r="991" spans="1:14">
      <c r="A991" s="1" t="s">
        <v>1003</v>
      </c>
      <c r="B991">
        <f>HYPERLINK("https://www.suredividend.com/sure-analysis-research-database/","Liquidity Services Inc")</f>
        <v>0</v>
      </c>
      <c r="C991" t="s">
        <v>1927</v>
      </c>
      <c r="D991">
        <v>14.02</v>
      </c>
      <c r="E991">
        <v>0</v>
      </c>
      <c r="F991" t="s">
        <v>1921</v>
      </c>
      <c r="G991" t="s">
        <v>1921</v>
      </c>
      <c r="H991">
        <v>0</v>
      </c>
      <c r="I991">
        <v>501.889797</v>
      </c>
      <c r="J991">
        <v>12.44642884188076</v>
      </c>
      <c r="K991">
        <v>0</v>
      </c>
      <c r="L991">
        <v>1.111949991312312</v>
      </c>
      <c r="M991">
        <v>22.61</v>
      </c>
      <c r="N991">
        <v>11.39</v>
      </c>
    </row>
    <row r="992" spans="1:14">
      <c r="A992" s="1" t="s">
        <v>1004</v>
      </c>
      <c r="B992">
        <f>HYPERLINK("https://www.suredividend.com/sure-analysis-research-database/","Stride Inc")</f>
        <v>0</v>
      </c>
      <c r="C992" t="s">
        <v>1928</v>
      </c>
      <c r="D992">
        <v>32.72</v>
      </c>
      <c r="E992">
        <v>0</v>
      </c>
      <c r="F992" t="s">
        <v>1921</v>
      </c>
      <c r="G992" t="s">
        <v>1921</v>
      </c>
      <c r="H992">
        <v>0</v>
      </c>
      <c r="I992">
        <v>1407.992905</v>
      </c>
      <c r="J992">
        <v>15.58531458540419</v>
      </c>
      <c r="K992">
        <v>0</v>
      </c>
      <c r="L992">
        <v>0.598061594481414</v>
      </c>
      <c r="M992">
        <v>47.35</v>
      </c>
      <c r="N992">
        <v>25.65</v>
      </c>
    </row>
    <row r="993" spans="1:14">
      <c r="A993" s="1" t="s">
        <v>1005</v>
      </c>
      <c r="B993">
        <f>HYPERLINK("https://www.suredividend.com/sure-analysis-research-database/","Lattice Semiconductor Corp.")</f>
        <v>0</v>
      </c>
      <c r="C993" t="s">
        <v>1920</v>
      </c>
      <c r="D993">
        <v>68.65000000000001</v>
      </c>
      <c r="E993">
        <v>0</v>
      </c>
      <c r="F993" t="s">
        <v>1921</v>
      </c>
      <c r="G993" t="s">
        <v>1921</v>
      </c>
      <c r="H993">
        <v>0</v>
      </c>
      <c r="I993">
        <v>9409.129046</v>
      </c>
      <c r="J993">
        <v>60.50847933903962</v>
      </c>
      <c r="K993">
        <v>0</v>
      </c>
      <c r="L993">
        <v>1.966233471917363</v>
      </c>
      <c r="M993">
        <v>76.47</v>
      </c>
      <c r="N993">
        <v>43.41</v>
      </c>
    </row>
    <row r="994" spans="1:14">
      <c r="A994" s="1" t="s">
        <v>1006</v>
      </c>
      <c r="B994">
        <f>HYPERLINK("https://www.suredividend.com/sure-analysis-research-database/","Landsea Homes Corporation")</f>
        <v>0</v>
      </c>
      <c r="C994" t="s">
        <v>1921</v>
      </c>
      <c r="D994">
        <v>5.52</v>
      </c>
      <c r="E994">
        <v>0</v>
      </c>
      <c r="F994" t="s">
        <v>1921</v>
      </c>
      <c r="G994" t="s">
        <v>1921</v>
      </c>
      <c r="H994">
        <v>0</v>
      </c>
      <c r="I994">
        <v>226.044237</v>
      </c>
      <c r="J994">
        <v>0</v>
      </c>
      <c r="K994" t="s">
        <v>1921</v>
      </c>
      <c r="L994">
        <v>0.8699489456573291</v>
      </c>
      <c r="M994">
        <v>9.210000000000001</v>
      </c>
      <c r="N994">
        <v>4.48</v>
      </c>
    </row>
    <row r="995" spans="1:14">
      <c r="A995" s="1" t="s">
        <v>1007</v>
      </c>
      <c r="B995">
        <f>HYPERLINK("https://www.suredividend.com/sure-analysis-research-database/","Laird Superfood Inc")</f>
        <v>0</v>
      </c>
      <c r="C995" t="s">
        <v>1921</v>
      </c>
      <c r="D995">
        <v>0.9055000000000001</v>
      </c>
      <c r="E995">
        <v>0</v>
      </c>
      <c r="F995" t="s">
        <v>1921</v>
      </c>
      <c r="G995" t="s">
        <v>1921</v>
      </c>
      <c r="H995">
        <v>0</v>
      </c>
      <c r="I995">
        <v>8.351084</v>
      </c>
      <c r="J995">
        <v>0</v>
      </c>
      <c r="K995" t="s">
        <v>1921</v>
      </c>
      <c r="L995">
        <v>1.070638455452997</v>
      </c>
      <c r="M995">
        <v>12.23</v>
      </c>
      <c r="N995">
        <v>0.77</v>
      </c>
    </row>
    <row r="996" spans="1:14">
      <c r="A996" s="1" t="s">
        <v>1008</v>
      </c>
      <c r="B996">
        <f>HYPERLINK("https://www.suredividend.com/sure-analysis-LTC/","LTC Properties, Inc.")</f>
        <v>0</v>
      </c>
      <c r="C996" t="s">
        <v>1929</v>
      </c>
      <c r="D996">
        <v>35.83</v>
      </c>
      <c r="E996">
        <v>0.06363382640245605</v>
      </c>
      <c r="F996">
        <v>0</v>
      </c>
      <c r="G996">
        <v>0</v>
      </c>
      <c r="H996">
        <v>2.224386476705452</v>
      </c>
      <c r="I996">
        <v>1451.286662</v>
      </c>
      <c r="J996">
        <v>15.40235247046962</v>
      </c>
      <c r="K996">
        <v>0.9346161666829631</v>
      </c>
      <c r="L996">
        <v>0.391072034257494</v>
      </c>
      <c r="M996">
        <v>44.61</v>
      </c>
      <c r="N996">
        <v>30.86</v>
      </c>
    </row>
    <row r="997" spans="1:14">
      <c r="A997" s="1" t="s">
        <v>1009</v>
      </c>
      <c r="B997">
        <f>HYPERLINK("https://www.suredividend.com/sure-analysis-research-database/","Life Time Group Holdings Inc")</f>
        <v>0</v>
      </c>
      <c r="C997" t="s">
        <v>1921</v>
      </c>
      <c r="D997">
        <v>14.49</v>
      </c>
      <c r="E997">
        <v>0</v>
      </c>
      <c r="F997" t="s">
        <v>1921</v>
      </c>
      <c r="G997" t="s">
        <v>1921</v>
      </c>
      <c r="H997">
        <v>0</v>
      </c>
      <c r="I997">
        <v>2813.794683</v>
      </c>
      <c r="J997">
        <v>0</v>
      </c>
      <c r="K997" t="s">
        <v>1921</v>
      </c>
      <c r="L997">
        <v>1.578159453052832</v>
      </c>
      <c r="M997">
        <v>17.8</v>
      </c>
      <c r="N997">
        <v>8.75</v>
      </c>
    </row>
    <row r="998" spans="1:14">
      <c r="A998" s="1" t="s">
        <v>1010</v>
      </c>
      <c r="B998">
        <f>HYPERLINK("https://www.suredividend.com/sure-analysis-research-database/","Livent Corp")</f>
        <v>0</v>
      </c>
      <c r="C998" t="s">
        <v>1925</v>
      </c>
      <c r="D998">
        <v>20.75</v>
      </c>
      <c r="E998">
        <v>0</v>
      </c>
      <c r="F998" t="s">
        <v>1921</v>
      </c>
      <c r="G998" t="s">
        <v>1921</v>
      </c>
      <c r="H998">
        <v>0</v>
      </c>
      <c r="I998">
        <v>3722.005333</v>
      </c>
      <c r="J998">
        <v>18.7695679942007</v>
      </c>
      <c r="K998">
        <v>0</v>
      </c>
      <c r="L998">
        <v>1.795243161779702</v>
      </c>
      <c r="M998">
        <v>36.38</v>
      </c>
      <c r="N998">
        <v>18.26</v>
      </c>
    </row>
    <row r="999" spans="1:14">
      <c r="A999" s="1" t="s">
        <v>1011</v>
      </c>
      <c r="B999">
        <f>HYPERLINK("https://www.suredividend.com/sure-analysis-research-database/","Liberty TripAdvisor Holdings Inc")</f>
        <v>0</v>
      </c>
      <c r="C999" t="s">
        <v>1931</v>
      </c>
      <c r="D999">
        <v>0.9859</v>
      </c>
      <c r="E999">
        <v>0</v>
      </c>
      <c r="F999" t="s">
        <v>1921</v>
      </c>
      <c r="G999" t="s">
        <v>1921</v>
      </c>
      <c r="H999">
        <v>0</v>
      </c>
      <c r="I999">
        <v>163.054884</v>
      </c>
      <c r="J999">
        <v>0</v>
      </c>
      <c r="K999" t="s">
        <v>1921</v>
      </c>
      <c r="L999">
        <v>1.715400045010214</v>
      </c>
      <c r="M999">
        <v>2.47</v>
      </c>
      <c r="N999">
        <v>0.5700000000000001</v>
      </c>
    </row>
    <row r="1000" spans="1:14">
      <c r="A1000" s="1" t="s">
        <v>1012</v>
      </c>
      <c r="B1000">
        <f>HYPERLINK("https://www.suredividend.com/sure-analysis-research-database/","Luna Innovations Inc")</f>
        <v>0</v>
      </c>
      <c r="C1000" t="s">
        <v>1920</v>
      </c>
      <c r="D1000">
        <v>9.75</v>
      </c>
      <c r="E1000">
        <v>0</v>
      </c>
      <c r="F1000" t="s">
        <v>1921</v>
      </c>
      <c r="G1000" t="s">
        <v>1921</v>
      </c>
      <c r="H1000">
        <v>0</v>
      </c>
      <c r="I1000">
        <v>321.377258</v>
      </c>
      <c r="J1000">
        <v>0</v>
      </c>
      <c r="K1000" t="s">
        <v>1921</v>
      </c>
      <c r="L1000">
        <v>1.187795328367028</v>
      </c>
      <c r="M1000">
        <v>10.45</v>
      </c>
      <c r="N1000">
        <v>4.06</v>
      </c>
    </row>
    <row r="1001" spans="1:14">
      <c r="A1001" s="1" t="s">
        <v>1013</v>
      </c>
      <c r="B1001">
        <f>HYPERLINK("https://www.suredividend.com/sure-analysis-research-database/","Pulmonx Corp")</f>
        <v>0</v>
      </c>
      <c r="C1001" t="s">
        <v>1921</v>
      </c>
      <c r="D1001">
        <v>8.07</v>
      </c>
      <c r="E1001">
        <v>0</v>
      </c>
      <c r="F1001" t="s">
        <v>1921</v>
      </c>
      <c r="G1001" t="s">
        <v>1921</v>
      </c>
      <c r="H1001">
        <v>0</v>
      </c>
      <c r="I1001">
        <v>301.892236</v>
      </c>
      <c r="J1001">
        <v>0</v>
      </c>
      <c r="K1001" t="s">
        <v>1921</v>
      </c>
      <c r="L1001">
        <v>1.648835304720192</v>
      </c>
      <c r="M1001">
        <v>31.66</v>
      </c>
      <c r="N1001">
        <v>4.07</v>
      </c>
    </row>
    <row r="1002" spans="1:14">
      <c r="A1002" s="1" t="s">
        <v>1014</v>
      </c>
      <c r="B1002">
        <f>HYPERLINK("https://www.suredividend.com/sure-analysis-research-database/","Lulus Fashion Lounge Holdings Inc")</f>
        <v>0</v>
      </c>
      <c r="C1002" t="s">
        <v>1921</v>
      </c>
      <c r="D1002">
        <v>2.25</v>
      </c>
      <c r="E1002">
        <v>0</v>
      </c>
      <c r="F1002" t="s">
        <v>1921</v>
      </c>
      <c r="G1002" t="s">
        <v>1921</v>
      </c>
      <c r="H1002">
        <v>0</v>
      </c>
      <c r="I1002">
        <v>87.594863</v>
      </c>
      <c r="J1002">
        <v>0</v>
      </c>
      <c r="K1002" t="s">
        <v>1921</v>
      </c>
      <c r="L1002">
        <v>1.246281674363581</v>
      </c>
      <c r="M1002">
        <v>21.29</v>
      </c>
      <c r="N1002">
        <v>2.16</v>
      </c>
    </row>
    <row r="1003" spans="1:14">
      <c r="A1003" s="1" t="s">
        <v>1015</v>
      </c>
      <c r="B1003">
        <f>HYPERLINK("https://www.suredividend.com/sure-analysis-research-database/","LiveOne Inc")</f>
        <v>0</v>
      </c>
      <c r="C1003" t="s">
        <v>1921</v>
      </c>
      <c r="D1003">
        <v>0.71</v>
      </c>
      <c r="E1003">
        <v>0</v>
      </c>
      <c r="F1003" t="s">
        <v>1921</v>
      </c>
      <c r="G1003" t="s">
        <v>1921</v>
      </c>
      <c r="H1003">
        <v>0</v>
      </c>
      <c r="I1003">
        <v>59.844454</v>
      </c>
      <c r="J1003" t="s">
        <v>1921</v>
      </c>
      <c r="K1003">
        <v>-0</v>
      </c>
      <c r="L1003">
        <v>0.9745662087923871</v>
      </c>
      <c r="M1003">
        <v>1.43</v>
      </c>
      <c r="N1003">
        <v>0.483</v>
      </c>
    </row>
    <row r="1004" spans="1:14">
      <c r="A1004" s="1" t="s">
        <v>1016</v>
      </c>
      <c r="B1004">
        <f>HYPERLINK("https://www.suredividend.com/sure-analysis-research-database/","Luxfer Holdings PLC")</f>
        <v>0</v>
      </c>
      <c r="C1004" t="s">
        <v>1924</v>
      </c>
      <c r="D1004">
        <v>14.81</v>
      </c>
      <c r="E1004">
        <v>0.034331127973923</v>
      </c>
      <c r="F1004">
        <v>0.04000000000000004</v>
      </c>
      <c r="G1004">
        <v>0.007874988517892145</v>
      </c>
      <c r="H1004">
        <v>0.5084440052938121</v>
      </c>
      <c r="I1004">
        <v>402.959973</v>
      </c>
      <c r="J1004">
        <v>0</v>
      </c>
      <c r="K1004" t="s">
        <v>1921</v>
      </c>
      <c r="L1004">
        <v>0.7745135515529441</v>
      </c>
      <c r="M1004">
        <v>19.63</v>
      </c>
      <c r="N1004">
        <v>12.71</v>
      </c>
    </row>
    <row r="1005" spans="1:14">
      <c r="A1005" s="1" t="s">
        <v>1017</v>
      </c>
      <c r="B1005">
        <f>HYPERLINK("https://www.suredividend.com/sure-analysis-LXP/","LXP Industrial Trust")</f>
        <v>0</v>
      </c>
      <c r="C1005" t="s">
        <v>1929</v>
      </c>
      <c r="D1005">
        <v>10.62</v>
      </c>
      <c r="E1005">
        <v>0.04519774011299435</v>
      </c>
      <c r="F1005">
        <v>0.04166666666666674</v>
      </c>
      <c r="G1005">
        <v>-0.06772866465473071</v>
      </c>
      <c r="H1005">
        <v>0.476198164798889</v>
      </c>
      <c r="I1005">
        <v>2928.180968</v>
      </c>
      <c r="J1005">
        <v>8.850452221997212</v>
      </c>
      <c r="K1005">
        <v>0.4177176884200781</v>
      </c>
      <c r="L1005">
        <v>0.7912780991872871</v>
      </c>
      <c r="M1005">
        <v>15.45</v>
      </c>
      <c r="N1005">
        <v>8.59</v>
      </c>
    </row>
    <row r="1006" spans="1:14">
      <c r="A1006" s="1" t="s">
        <v>1018</v>
      </c>
      <c r="B1006">
        <f>HYPERLINK("https://www.suredividend.com/sure-analysis-research-database/","Lexicon Pharmaceuticals Inc")</f>
        <v>0</v>
      </c>
      <c r="C1006" t="s">
        <v>1922</v>
      </c>
      <c r="D1006">
        <v>2.11</v>
      </c>
      <c r="E1006">
        <v>0</v>
      </c>
      <c r="F1006" t="s">
        <v>1921</v>
      </c>
      <c r="G1006" t="s">
        <v>1921</v>
      </c>
      <c r="H1006">
        <v>0</v>
      </c>
      <c r="I1006">
        <v>398.211318</v>
      </c>
      <c r="J1006" t="s">
        <v>1921</v>
      </c>
      <c r="K1006">
        <v>-0</v>
      </c>
      <c r="L1006">
        <v>1.607909979316108</v>
      </c>
      <c r="M1006">
        <v>3.73</v>
      </c>
      <c r="N1006">
        <v>1.31</v>
      </c>
    </row>
    <row r="1007" spans="1:14">
      <c r="A1007" s="1" t="s">
        <v>1019</v>
      </c>
      <c r="B1007">
        <f>HYPERLINK("https://www.suredividend.com/sure-analysis-research-database/","Lyell Immunopharma Inc")</f>
        <v>0</v>
      </c>
      <c r="C1007" t="s">
        <v>1921</v>
      </c>
      <c r="D1007">
        <v>3.2</v>
      </c>
      <c r="E1007">
        <v>0</v>
      </c>
      <c r="F1007" t="s">
        <v>1921</v>
      </c>
      <c r="G1007" t="s">
        <v>1921</v>
      </c>
      <c r="H1007">
        <v>0</v>
      </c>
      <c r="I1007">
        <v>797.842006</v>
      </c>
      <c r="J1007">
        <v>0</v>
      </c>
      <c r="K1007" t="s">
        <v>1921</v>
      </c>
      <c r="L1007">
        <v>1.67042570567832</v>
      </c>
      <c r="M1007">
        <v>8.74</v>
      </c>
      <c r="N1007">
        <v>2.74</v>
      </c>
    </row>
    <row r="1008" spans="1:14">
      <c r="A1008" s="1" t="s">
        <v>1020</v>
      </c>
      <c r="B1008">
        <f>HYPERLINK("https://www.suredividend.com/sure-analysis-research-database/","La-Z-Boy Inc.")</f>
        <v>0</v>
      </c>
      <c r="C1008" t="s">
        <v>1927</v>
      </c>
      <c r="D1008">
        <v>24.88</v>
      </c>
      <c r="E1008">
        <v>0.027000212120535</v>
      </c>
      <c r="F1008" t="s">
        <v>1921</v>
      </c>
      <c r="G1008" t="s">
        <v>1921</v>
      </c>
      <c r="H1008">
        <v>0.671765277558922</v>
      </c>
      <c r="I1008">
        <v>1073.224874</v>
      </c>
      <c r="J1008">
        <v>6.294647879975131</v>
      </c>
      <c r="K1008">
        <v>0.1709326406002346</v>
      </c>
      <c r="L1008">
        <v>1.054845939101222</v>
      </c>
      <c r="M1008">
        <v>37.03</v>
      </c>
      <c r="N1008">
        <v>21.76</v>
      </c>
    </row>
    <row r="1009" spans="1:14">
      <c r="A1009" s="1" t="s">
        <v>1021</v>
      </c>
      <c r="B1009">
        <f>HYPERLINK("https://www.suredividend.com/sure-analysis-M/","Macy`s Inc")</f>
        <v>0</v>
      </c>
      <c r="C1009" t="s">
        <v>1927</v>
      </c>
      <c r="D1009">
        <v>20.43</v>
      </c>
      <c r="E1009">
        <v>0.03083700440528634</v>
      </c>
      <c r="F1009" t="s">
        <v>1921</v>
      </c>
      <c r="G1009" t="s">
        <v>1921</v>
      </c>
      <c r="H1009">
        <v>0.6225124270096131</v>
      </c>
      <c r="I1009">
        <v>5538.817711</v>
      </c>
      <c r="J1009">
        <v>3.922675432393768</v>
      </c>
      <c r="K1009">
        <v>0.1267846083522634</v>
      </c>
      <c r="L1009">
        <v>1.658130036909792</v>
      </c>
      <c r="M1009">
        <v>27.39</v>
      </c>
      <c r="N1009">
        <v>14.99</v>
      </c>
    </row>
    <row r="1010" spans="1:14">
      <c r="A1010" s="1" t="s">
        <v>1022</v>
      </c>
      <c r="B1010">
        <f>HYPERLINK("https://www.suredividend.com/sure-analysis-MAC/","Macerich Co.")</f>
        <v>0</v>
      </c>
      <c r="C1010" t="s">
        <v>1929</v>
      </c>
      <c r="D1010">
        <v>11.63</v>
      </c>
      <c r="E1010">
        <v>0.05846947549441101</v>
      </c>
      <c r="F1010">
        <v>0.1333333333333335</v>
      </c>
      <c r="G1010">
        <v>-0.2548504554670274</v>
      </c>
      <c r="H1010">
        <v>0.607975253792949</v>
      </c>
      <c r="I1010">
        <v>2497.946736</v>
      </c>
      <c r="J1010" t="s">
        <v>1921</v>
      </c>
      <c r="K1010" t="s">
        <v>1921</v>
      </c>
      <c r="L1010">
        <v>1.36240655690532</v>
      </c>
      <c r="M1010">
        <v>17.62</v>
      </c>
      <c r="N1010">
        <v>7.3</v>
      </c>
    </row>
    <row r="1011" spans="1:14">
      <c r="A1011" s="1" t="s">
        <v>1023</v>
      </c>
      <c r="B1011">
        <f>HYPERLINK("https://www.suredividend.com/sure-analysis-research-database/","Mantech International Corp")</f>
        <v>0</v>
      </c>
      <c r="C1011" t="s">
        <v>1920</v>
      </c>
      <c r="D1011">
        <v>95.98</v>
      </c>
      <c r="E1011">
        <v>0</v>
      </c>
      <c r="F1011" t="s">
        <v>1921</v>
      </c>
      <c r="G1011" t="s">
        <v>1921</v>
      </c>
      <c r="H1011">
        <v>1.199999988079071</v>
      </c>
      <c r="I1011">
        <v>0</v>
      </c>
      <c r="J1011">
        <v>0</v>
      </c>
      <c r="K1011">
        <v>0.4026845597580775</v>
      </c>
    </row>
    <row r="1012" spans="1:14">
      <c r="A1012" s="1" t="s">
        <v>1024</v>
      </c>
      <c r="B1012">
        <f>HYPERLINK("https://www.suredividend.com/sure-analysis-research-database/","Marathon Digital Holdings Inc")</f>
        <v>0</v>
      </c>
      <c r="C1012" t="s">
        <v>1923</v>
      </c>
      <c r="D1012">
        <v>4.9</v>
      </c>
      <c r="E1012">
        <v>0</v>
      </c>
      <c r="F1012" t="s">
        <v>1921</v>
      </c>
      <c r="G1012" t="s">
        <v>1921</v>
      </c>
      <c r="H1012">
        <v>0</v>
      </c>
      <c r="I1012">
        <v>572.370985</v>
      </c>
      <c r="J1012">
        <v>0</v>
      </c>
      <c r="K1012" t="s">
        <v>1921</v>
      </c>
      <c r="L1012">
        <v>3.154837876504652</v>
      </c>
      <c r="M1012">
        <v>32.74</v>
      </c>
      <c r="N1012">
        <v>3.11</v>
      </c>
    </row>
    <row r="1013" spans="1:14">
      <c r="A1013" s="1" t="s">
        <v>1025</v>
      </c>
      <c r="B1013">
        <f>HYPERLINK("https://www.suredividend.com/sure-analysis-research-database/","908 Devices Inc")</f>
        <v>0</v>
      </c>
      <c r="C1013" t="s">
        <v>1921</v>
      </c>
      <c r="D1013">
        <v>7.32</v>
      </c>
      <c r="E1013">
        <v>0</v>
      </c>
      <c r="F1013" t="s">
        <v>1921</v>
      </c>
      <c r="G1013" t="s">
        <v>1921</v>
      </c>
      <c r="H1013">
        <v>0</v>
      </c>
      <c r="I1013">
        <v>231.240096</v>
      </c>
      <c r="J1013">
        <v>0</v>
      </c>
      <c r="K1013" t="s">
        <v>1921</v>
      </c>
      <c r="L1013">
        <v>2.060693513945871</v>
      </c>
      <c r="M1013">
        <v>26</v>
      </c>
      <c r="N1013">
        <v>6.87</v>
      </c>
    </row>
    <row r="1014" spans="1:14">
      <c r="A1014" s="1" t="s">
        <v>1026</v>
      </c>
      <c r="B1014">
        <f>HYPERLINK("https://www.suredividend.com/sure-analysis-MATW/","Matthews International Corp.")</f>
        <v>0</v>
      </c>
      <c r="C1014" t="s">
        <v>1924</v>
      </c>
      <c r="D1014">
        <v>37.05</v>
      </c>
      <c r="E1014">
        <v>0.02483130904183536</v>
      </c>
      <c r="F1014">
        <v>0.04545454545454541</v>
      </c>
      <c r="G1014">
        <v>0.03895047748988278</v>
      </c>
      <c r="H1014">
        <v>0.8846922764739821</v>
      </c>
      <c r="I1014">
        <v>1122.54279</v>
      </c>
      <c r="J1014" t="s">
        <v>1921</v>
      </c>
      <c r="K1014" t="s">
        <v>1921</v>
      </c>
      <c r="L1014">
        <v>0.747576054554268</v>
      </c>
      <c r="M1014">
        <v>37.9</v>
      </c>
      <c r="N1014">
        <v>22.12</v>
      </c>
    </row>
    <row r="1015" spans="1:14">
      <c r="A1015" s="1" t="s">
        <v>1027</v>
      </c>
      <c r="B1015">
        <f>HYPERLINK("https://www.suredividend.com/sure-analysis-research-database/","Matson Inc")</f>
        <v>0</v>
      </c>
      <c r="C1015" t="s">
        <v>1924</v>
      </c>
      <c r="D1015">
        <v>63.41</v>
      </c>
      <c r="E1015">
        <v>0.019124709028851</v>
      </c>
      <c r="F1015">
        <v>0.03333333333333321</v>
      </c>
      <c r="G1015">
        <v>0.09160706958928855</v>
      </c>
      <c r="H1015">
        <v>1.212697799519476</v>
      </c>
      <c r="I1015">
        <v>2395.673236</v>
      </c>
      <c r="J1015">
        <v>1.735492057266009</v>
      </c>
      <c r="K1015">
        <v>0.03551091653058495</v>
      </c>
      <c r="L1015">
        <v>1.060549950235689</v>
      </c>
      <c r="M1015">
        <v>123.9</v>
      </c>
      <c r="N1015">
        <v>58.3</v>
      </c>
    </row>
    <row r="1016" spans="1:14">
      <c r="A1016" s="1" t="s">
        <v>1028</v>
      </c>
      <c r="B1016">
        <f>HYPERLINK("https://www.suredividend.com/sure-analysis-research-database/","MediaAlpha Inc")</f>
        <v>0</v>
      </c>
      <c r="C1016" t="s">
        <v>1921</v>
      </c>
      <c r="D1016">
        <v>10.71</v>
      </c>
      <c r="E1016">
        <v>0</v>
      </c>
      <c r="F1016" t="s">
        <v>1921</v>
      </c>
      <c r="G1016" t="s">
        <v>1921</v>
      </c>
      <c r="H1016">
        <v>0</v>
      </c>
      <c r="I1016">
        <v>461.707415</v>
      </c>
      <c r="J1016">
        <v>0</v>
      </c>
      <c r="K1016" t="s">
        <v>1921</v>
      </c>
      <c r="L1016">
        <v>1.421200834808935</v>
      </c>
      <c r="M1016">
        <v>17.26</v>
      </c>
      <c r="N1016">
        <v>7.59</v>
      </c>
    </row>
    <row r="1017" spans="1:14">
      <c r="A1017" s="1" t="s">
        <v>1029</v>
      </c>
      <c r="B1017">
        <f>HYPERLINK("https://www.suredividend.com/sure-analysis-research-database/","Maxar Technologies Inc")</f>
        <v>0</v>
      </c>
      <c r="C1017" t="s">
        <v>1920</v>
      </c>
      <c r="D1017">
        <v>50.96</v>
      </c>
      <c r="E1017">
        <v>0.000784441589069</v>
      </c>
      <c r="F1017" t="s">
        <v>1921</v>
      </c>
      <c r="G1017" t="s">
        <v>1921</v>
      </c>
      <c r="H1017">
        <v>0.03997514337900401</v>
      </c>
      <c r="I1017">
        <v>3799.6572</v>
      </c>
      <c r="J1017">
        <v>126.655239984</v>
      </c>
      <c r="K1017">
        <v>0.09996284915979996</v>
      </c>
      <c r="L1017">
        <v>1.242589969688038</v>
      </c>
      <c r="M1017">
        <v>51.93</v>
      </c>
      <c r="N1017">
        <v>17.5</v>
      </c>
    </row>
    <row r="1018" spans="1:14">
      <c r="A1018" s="1" t="s">
        <v>1030</v>
      </c>
      <c r="B1018">
        <f>HYPERLINK("https://www.suredividend.com/sure-analysis-research-database/","MBIA Inc.")</f>
        <v>0</v>
      </c>
      <c r="C1018" t="s">
        <v>1923</v>
      </c>
      <c r="D1018">
        <v>12.45</v>
      </c>
      <c r="E1018">
        <v>0</v>
      </c>
      <c r="F1018" t="s">
        <v>1921</v>
      </c>
      <c r="G1018" t="s">
        <v>1921</v>
      </c>
      <c r="H1018">
        <v>0</v>
      </c>
      <c r="I1018">
        <v>683.413094</v>
      </c>
      <c r="J1018" t="s">
        <v>1921</v>
      </c>
      <c r="K1018">
        <v>-0</v>
      </c>
      <c r="L1018">
        <v>1.259784185919953</v>
      </c>
      <c r="M1018">
        <v>17.9</v>
      </c>
      <c r="N1018">
        <v>8.91</v>
      </c>
    </row>
    <row r="1019" spans="1:14">
      <c r="A1019" s="1" t="s">
        <v>1031</v>
      </c>
      <c r="B1019">
        <f>HYPERLINK("https://www.suredividend.com/sure-analysis-research-database/","Pro Farm Group Inc")</f>
        <v>0</v>
      </c>
      <c r="C1019" t="s">
        <v>1925</v>
      </c>
      <c r="D1019">
        <v>0.7981</v>
      </c>
      <c r="E1019">
        <v>0</v>
      </c>
      <c r="F1019" t="s">
        <v>1921</v>
      </c>
      <c r="G1019" t="s">
        <v>1921</v>
      </c>
      <c r="H1019">
        <v>0</v>
      </c>
      <c r="I1019">
        <v>0</v>
      </c>
      <c r="J1019">
        <v>0</v>
      </c>
      <c r="K1019" t="s">
        <v>1921</v>
      </c>
    </row>
    <row r="1020" spans="1:14">
      <c r="A1020" s="1" t="s">
        <v>1032</v>
      </c>
      <c r="B1020">
        <f>HYPERLINK("https://www.suredividend.com/sure-analysis-research-database/","Merchants Bancorp")</f>
        <v>0</v>
      </c>
      <c r="C1020" t="s">
        <v>1923</v>
      </c>
      <c r="D1020">
        <v>24.46</v>
      </c>
      <c r="E1020">
        <v>0.011398756295785</v>
      </c>
      <c r="F1020">
        <v>-0.2222222222222221</v>
      </c>
      <c r="G1020">
        <v>0.03131030647754507</v>
      </c>
      <c r="H1020">
        <v>0.278813578994904</v>
      </c>
      <c r="I1020">
        <v>1054.460278</v>
      </c>
      <c r="J1020">
        <v>0</v>
      </c>
      <c r="K1020" t="s">
        <v>1921</v>
      </c>
      <c r="L1020">
        <v>0.8755715686382941</v>
      </c>
      <c r="M1020">
        <v>49.03</v>
      </c>
      <c r="N1020">
        <v>21.4</v>
      </c>
    </row>
    <row r="1021" spans="1:14">
      <c r="A1021" s="1" t="s">
        <v>1033</v>
      </c>
      <c r="B1021">
        <f>HYPERLINK("https://www.suredividend.com/sure-analysis-research-database/","Mustang Bio Inc")</f>
        <v>0</v>
      </c>
      <c r="C1021" t="s">
        <v>1922</v>
      </c>
      <c r="D1021">
        <v>0.5577</v>
      </c>
      <c r="E1021">
        <v>0</v>
      </c>
      <c r="F1021" t="s">
        <v>1921</v>
      </c>
      <c r="G1021" t="s">
        <v>1921</v>
      </c>
      <c r="H1021">
        <v>0</v>
      </c>
      <c r="I1021">
        <v>58.682115</v>
      </c>
      <c r="J1021">
        <v>0</v>
      </c>
      <c r="K1021" t="s">
        <v>1921</v>
      </c>
      <c r="L1021">
        <v>1.659863980289892</v>
      </c>
      <c r="M1021">
        <v>1.64</v>
      </c>
      <c r="N1021">
        <v>0.315</v>
      </c>
    </row>
    <row r="1022" spans="1:14">
      <c r="A1022" s="1" t="s">
        <v>1034</v>
      </c>
      <c r="B1022">
        <f>HYPERLINK("https://www.suredividend.com/sure-analysis-research-database/","Malibu Boats Inc")</f>
        <v>0</v>
      </c>
      <c r="C1022" t="s">
        <v>1927</v>
      </c>
      <c r="D1022">
        <v>57.32</v>
      </c>
      <c r="E1022">
        <v>0</v>
      </c>
      <c r="F1022" t="s">
        <v>1921</v>
      </c>
      <c r="G1022" t="s">
        <v>1921</v>
      </c>
      <c r="H1022">
        <v>0</v>
      </c>
      <c r="I1022">
        <v>1166.19357</v>
      </c>
      <c r="J1022">
        <v>7.043465162619058</v>
      </c>
      <c r="K1022">
        <v>0</v>
      </c>
      <c r="L1022">
        <v>1.122673785681873</v>
      </c>
      <c r="M1022">
        <v>72.47</v>
      </c>
      <c r="N1022">
        <v>46.3</v>
      </c>
    </row>
    <row r="1023" spans="1:14">
      <c r="A1023" s="1" t="s">
        <v>1035</v>
      </c>
      <c r="B1023">
        <f>HYPERLINK("https://www.suredividend.com/sure-analysis-research-database/","Mercantile Bank Corp.")</f>
        <v>0</v>
      </c>
      <c r="C1023" t="s">
        <v>1923</v>
      </c>
      <c r="D1023">
        <v>33.75</v>
      </c>
      <c r="E1023">
        <v>0.03681583029099601</v>
      </c>
      <c r="F1023">
        <v>0.06666666666666643</v>
      </c>
      <c r="G1023">
        <v>0.07781806771272581</v>
      </c>
      <c r="H1023">
        <v>1.242534272321134</v>
      </c>
      <c r="I1023">
        <v>535.483744</v>
      </c>
      <c r="J1023">
        <v>10.52051599736734</v>
      </c>
      <c r="K1023">
        <v>0.3858802087953833</v>
      </c>
      <c r="L1023">
        <v>0.5340438918573931</v>
      </c>
      <c r="M1023">
        <v>38.57</v>
      </c>
      <c r="N1023">
        <v>28.99</v>
      </c>
    </row>
    <row r="1024" spans="1:14">
      <c r="A1024" s="1" t="s">
        <v>1036</v>
      </c>
      <c r="B1024">
        <f>HYPERLINK("https://www.suredividend.com/sure-analysis-research-database/","Moelis &amp; Co")</f>
        <v>0</v>
      </c>
      <c r="C1024" t="s">
        <v>1923</v>
      </c>
      <c r="D1024">
        <v>42.84</v>
      </c>
      <c r="E1024">
        <v>0.054099018362369</v>
      </c>
      <c r="F1024">
        <v>0</v>
      </c>
      <c r="G1024">
        <v>0.03713728933664817</v>
      </c>
      <c r="H1024">
        <v>2.317601946643915</v>
      </c>
      <c r="I1024">
        <v>2740.294915</v>
      </c>
      <c r="J1024">
        <v>11.94871724197473</v>
      </c>
      <c r="K1024">
        <v>0.7109208425288084</v>
      </c>
      <c r="L1024">
        <v>1.323897069462043</v>
      </c>
      <c r="M1024">
        <v>59.39</v>
      </c>
      <c r="N1024">
        <v>32.18</v>
      </c>
    </row>
    <row r="1025" spans="1:14">
      <c r="A1025" s="1" t="s">
        <v>1037</v>
      </c>
      <c r="B1025">
        <f>HYPERLINK("https://www.suredividend.com/sure-analysis-research-database/","Metropolitan Bank Holding Corp")</f>
        <v>0</v>
      </c>
      <c r="C1025" t="s">
        <v>1923</v>
      </c>
      <c r="D1025">
        <v>59.12</v>
      </c>
      <c r="E1025">
        <v>0</v>
      </c>
      <c r="F1025" t="s">
        <v>1921</v>
      </c>
      <c r="G1025" t="s">
        <v>1921</v>
      </c>
      <c r="H1025">
        <v>0</v>
      </c>
      <c r="I1025">
        <v>646.281927</v>
      </c>
      <c r="J1025">
        <v>0</v>
      </c>
      <c r="K1025" t="s">
        <v>1921</v>
      </c>
      <c r="L1025">
        <v>1.010499042091225</v>
      </c>
      <c r="M1025">
        <v>115.78</v>
      </c>
      <c r="N1025">
        <v>53.67</v>
      </c>
    </row>
    <row r="1026" spans="1:14">
      <c r="A1026" s="1" t="s">
        <v>1038</v>
      </c>
      <c r="B1026">
        <f>HYPERLINK("https://www.suredividend.com/sure-analysis-research-database/","Macatawa Bank Corp.")</f>
        <v>0</v>
      </c>
      <c r="C1026" t="s">
        <v>1923</v>
      </c>
      <c r="D1026">
        <v>10.85</v>
      </c>
      <c r="E1026">
        <v>0.029149317937321</v>
      </c>
      <c r="F1026">
        <v>0</v>
      </c>
      <c r="G1026">
        <v>0.05922384104881218</v>
      </c>
      <c r="H1026">
        <v>0.316270099619942</v>
      </c>
      <c r="I1026">
        <v>371.572171</v>
      </c>
      <c r="J1026">
        <v>12.88883313850636</v>
      </c>
      <c r="K1026">
        <v>0.3757069370633666</v>
      </c>
      <c r="L1026">
        <v>0.352687460328492</v>
      </c>
      <c r="M1026">
        <v>11.76</v>
      </c>
      <c r="N1026">
        <v>8.25</v>
      </c>
    </row>
    <row r="1027" spans="1:14">
      <c r="A1027" s="1" t="s">
        <v>1039</v>
      </c>
      <c r="B1027">
        <f>HYPERLINK("https://www.suredividend.com/sure-analysis-research-database/","MetroCity Bankshares Inc")</f>
        <v>0</v>
      </c>
      <c r="C1027" t="s">
        <v>1923</v>
      </c>
      <c r="D1027">
        <v>20.91</v>
      </c>
      <c r="E1027">
        <v>0.028394410309351</v>
      </c>
      <c r="F1027">
        <v>0.0714285714285714</v>
      </c>
      <c r="G1027">
        <v>-0.03580749599737276</v>
      </c>
      <c r="H1027">
        <v>0.5937271195685291</v>
      </c>
      <c r="I1027">
        <v>529.20751</v>
      </c>
      <c r="J1027">
        <v>0</v>
      </c>
      <c r="K1027" t="s">
        <v>1921</v>
      </c>
      <c r="L1027">
        <v>0.8334241612332941</v>
      </c>
      <c r="M1027">
        <v>28.06</v>
      </c>
      <c r="N1027">
        <v>18.35</v>
      </c>
    </row>
    <row r="1028" spans="1:14">
      <c r="A1028" s="1" t="s">
        <v>1040</v>
      </c>
      <c r="B1028">
        <f>HYPERLINK("https://www.suredividend.com/sure-analysis-research-database/","MasterCraft Boat Holdings Inc")</f>
        <v>0</v>
      </c>
      <c r="C1028" t="s">
        <v>1927</v>
      </c>
      <c r="D1028">
        <v>27.99</v>
      </c>
      <c r="E1028">
        <v>0</v>
      </c>
      <c r="F1028" t="s">
        <v>1921</v>
      </c>
      <c r="G1028" t="s">
        <v>1921</v>
      </c>
      <c r="H1028">
        <v>0</v>
      </c>
      <c r="I1028">
        <v>498.344456</v>
      </c>
      <c r="J1028">
        <v>9.602752741059041</v>
      </c>
      <c r="K1028">
        <v>0</v>
      </c>
      <c r="L1028">
        <v>1.105839296724085</v>
      </c>
      <c r="M1028">
        <v>29.69</v>
      </c>
      <c r="N1028">
        <v>18.49</v>
      </c>
    </row>
    <row r="1029" spans="1:14">
      <c r="A1029" s="1" t="s">
        <v>1041</v>
      </c>
      <c r="B1029">
        <f>HYPERLINK("https://www.suredividend.com/sure-analysis-research-database/","Seres Therapeutics Inc")</f>
        <v>0</v>
      </c>
      <c r="C1029" t="s">
        <v>1922</v>
      </c>
      <c r="D1029">
        <v>5.2</v>
      </c>
      <c r="E1029">
        <v>0</v>
      </c>
      <c r="F1029" t="s">
        <v>1921</v>
      </c>
      <c r="G1029" t="s">
        <v>1921</v>
      </c>
      <c r="H1029">
        <v>0</v>
      </c>
      <c r="I1029">
        <v>647.877053</v>
      </c>
      <c r="J1029" t="s">
        <v>1921</v>
      </c>
      <c r="K1029">
        <v>-0</v>
      </c>
      <c r="L1029">
        <v>1.538313986221514</v>
      </c>
      <c r="M1029">
        <v>9.49</v>
      </c>
      <c r="N1029">
        <v>2.5</v>
      </c>
    </row>
    <row r="1030" spans="1:14">
      <c r="A1030" s="1" t="s">
        <v>1042</v>
      </c>
      <c r="B1030">
        <f>HYPERLINK("https://www.suredividend.com/sure-analysis-research-database/","Monarch Casino &amp; Resort, Inc.")</f>
        <v>0</v>
      </c>
      <c r="C1030" t="s">
        <v>1927</v>
      </c>
      <c r="D1030">
        <v>78.12</v>
      </c>
      <c r="E1030">
        <v>0</v>
      </c>
      <c r="F1030" t="s">
        <v>1921</v>
      </c>
      <c r="G1030" t="s">
        <v>1921</v>
      </c>
      <c r="H1030">
        <v>0</v>
      </c>
      <c r="I1030">
        <v>1481.283551</v>
      </c>
      <c r="J1030">
        <v>17.44389876184981</v>
      </c>
      <c r="K1030">
        <v>0</v>
      </c>
      <c r="L1030">
        <v>1.007807988075023</v>
      </c>
      <c r="M1030">
        <v>94.26000000000001</v>
      </c>
      <c r="N1030">
        <v>54.01</v>
      </c>
    </row>
    <row r="1031" spans="1:14">
      <c r="A1031" s="1" t="s">
        <v>1043</v>
      </c>
      <c r="B1031">
        <f>HYPERLINK("https://www.suredividend.com/sure-analysis-research-database/","Marcus Corp.")</f>
        <v>0</v>
      </c>
      <c r="C1031" t="s">
        <v>1931</v>
      </c>
      <c r="D1031">
        <v>14.51</v>
      </c>
      <c r="E1031">
        <v>0.006880860804312001</v>
      </c>
      <c r="F1031" t="s">
        <v>1921</v>
      </c>
      <c r="G1031" t="s">
        <v>1921</v>
      </c>
      <c r="H1031">
        <v>0.09984129027056701</v>
      </c>
      <c r="I1031">
        <v>354.006521</v>
      </c>
      <c r="J1031">
        <v>93.38077569770508</v>
      </c>
      <c r="K1031">
        <v>0.971218776951041</v>
      </c>
      <c r="L1031">
        <v>0.7327969558260851</v>
      </c>
      <c r="M1031">
        <v>19.12</v>
      </c>
      <c r="N1031">
        <v>13.33</v>
      </c>
    </row>
    <row r="1032" spans="1:14">
      <c r="A1032" s="1" t="s">
        <v>1044</v>
      </c>
      <c r="B1032">
        <f>HYPERLINK("https://www.suredividend.com/sure-analysis-research-database/","Pediatrix Medical Group Inc")</f>
        <v>0</v>
      </c>
      <c r="C1032" t="s">
        <v>1922</v>
      </c>
      <c r="D1032">
        <v>14.97</v>
      </c>
      <c r="E1032">
        <v>0</v>
      </c>
      <c r="F1032" t="s">
        <v>1921</v>
      </c>
      <c r="G1032" t="s">
        <v>1921</v>
      </c>
      <c r="H1032">
        <v>0</v>
      </c>
      <c r="I1032">
        <v>1243.554262</v>
      </c>
      <c r="J1032">
        <v>14.77045636509407</v>
      </c>
      <c r="K1032">
        <v>0</v>
      </c>
      <c r="L1032">
        <v>0.9240918094781331</v>
      </c>
      <c r="M1032">
        <v>27.27</v>
      </c>
      <c r="N1032">
        <v>14.4</v>
      </c>
    </row>
    <row r="1033" spans="1:14">
      <c r="A1033" s="1" t="s">
        <v>1045</v>
      </c>
      <c r="B1033">
        <f>HYPERLINK("https://www.suredividend.com/sure-analysis-MDC/","M.D.C. Holdings, Inc.")</f>
        <v>0</v>
      </c>
      <c r="C1033" t="s">
        <v>1927</v>
      </c>
      <c r="D1033">
        <v>33.76</v>
      </c>
      <c r="E1033">
        <v>0.05924170616113744</v>
      </c>
      <c r="F1033">
        <v>0</v>
      </c>
      <c r="G1033">
        <v>0.1075663432482898</v>
      </c>
      <c r="H1033">
        <v>1.954564649173989</v>
      </c>
      <c r="I1033">
        <v>2405.878784</v>
      </c>
      <c r="J1033">
        <v>3.752044989878637</v>
      </c>
      <c r="K1033">
        <v>0.2223623036602946</v>
      </c>
      <c r="L1033">
        <v>1.212925017990795</v>
      </c>
      <c r="M1033">
        <v>53.23</v>
      </c>
      <c r="N1033">
        <v>26.59</v>
      </c>
    </row>
    <row r="1034" spans="1:14">
      <c r="A1034" s="1" t="s">
        <v>1046</v>
      </c>
      <c r="B1034">
        <f>HYPERLINK("https://www.suredividend.com/sure-analysis-research-database/","Madrigal Pharmaceuticals Inc")</f>
        <v>0</v>
      </c>
      <c r="C1034" t="s">
        <v>1922</v>
      </c>
      <c r="D1034">
        <v>285.8</v>
      </c>
      <c r="E1034">
        <v>0</v>
      </c>
      <c r="F1034" t="s">
        <v>1921</v>
      </c>
      <c r="G1034" t="s">
        <v>1921</v>
      </c>
      <c r="H1034">
        <v>0</v>
      </c>
      <c r="I1034">
        <v>4888.150291</v>
      </c>
      <c r="J1034">
        <v>0</v>
      </c>
      <c r="K1034" t="s">
        <v>1921</v>
      </c>
      <c r="L1034">
        <v>0.7821932748540811</v>
      </c>
      <c r="M1034">
        <v>315.45</v>
      </c>
      <c r="N1034">
        <v>52.33</v>
      </c>
    </row>
    <row r="1035" spans="1:14">
      <c r="A1035" s="1" t="s">
        <v>1047</v>
      </c>
      <c r="B1035">
        <f>HYPERLINK("https://www.suredividend.com/sure-analysis-research-database/","Veradigm Inc")</f>
        <v>0</v>
      </c>
      <c r="C1035" t="s">
        <v>1922</v>
      </c>
      <c r="D1035">
        <v>17.9</v>
      </c>
      <c r="E1035">
        <v>0</v>
      </c>
      <c r="F1035" t="s">
        <v>1921</v>
      </c>
      <c r="G1035" t="s">
        <v>1921</v>
      </c>
      <c r="H1035">
        <v>0</v>
      </c>
      <c r="I1035">
        <v>1955.74999</v>
      </c>
      <c r="J1035">
        <v>32.255005284164</v>
      </c>
      <c r="K1035">
        <v>0</v>
      </c>
      <c r="L1035">
        <v>0.725231159149316</v>
      </c>
      <c r="M1035">
        <v>23.25</v>
      </c>
      <c r="N1035">
        <v>13.59</v>
      </c>
    </row>
    <row r="1036" spans="1:14">
      <c r="A1036" s="1" t="s">
        <v>1048</v>
      </c>
      <c r="B1036">
        <f>HYPERLINK("https://www.suredividend.com/sure-analysis-research-database/","MedAvail Holdings Inc")</f>
        <v>0</v>
      </c>
      <c r="C1036" t="s">
        <v>1921</v>
      </c>
      <c r="D1036">
        <v>0.4742</v>
      </c>
      <c r="E1036">
        <v>0</v>
      </c>
      <c r="F1036" t="s">
        <v>1921</v>
      </c>
      <c r="G1036" t="s">
        <v>1921</v>
      </c>
      <c r="H1036">
        <v>0</v>
      </c>
      <c r="I1036">
        <v>37.957669</v>
      </c>
      <c r="J1036">
        <v>0</v>
      </c>
      <c r="K1036" t="s">
        <v>1921</v>
      </c>
      <c r="L1036">
        <v>0.824677957766875</v>
      </c>
      <c r="M1036">
        <v>3.56</v>
      </c>
      <c r="N1036">
        <v>0.241</v>
      </c>
    </row>
    <row r="1037" spans="1:14">
      <c r="A1037" s="1" t="s">
        <v>1049</v>
      </c>
      <c r="B1037">
        <f>HYPERLINK("https://www.suredividend.com/sure-analysis-research-database/","Mimedx Group Inc")</f>
        <v>0</v>
      </c>
      <c r="C1037" t="s">
        <v>1922</v>
      </c>
      <c r="D1037">
        <v>3.28</v>
      </c>
      <c r="E1037">
        <v>0</v>
      </c>
      <c r="F1037" t="s">
        <v>1921</v>
      </c>
      <c r="G1037" t="s">
        <v>1921</v>
      </c>
      <c r="H1037">
        <v>0</v>
      </c>
      <c r="I1037">
        <v>372.831627</v>
      </c>
      <c r="J1037" t="s">
        <v>1921</v>
      </c>
      <c r="K1037">
        <v>-0</v>
      </c>
      <c r="L1037">
        <v>1.690779303427705</v>
      </c>
      <c r="M1037">
        <v>5.61</v>
      </c>
      <c r="N1037">
        <v>2.43</v>
      </c>
    </row>
    <row r="1038" spans="1:14">
      <c r="A1038" s="1" t="s">
        <v>1050</v>
      </c>
      <c r="B1038">
        <f>HYPERLINK("https://www.suredividend.com/sure-analysis-research-database/","Mayville Engineering Company Inc")</f>
        <v>0</v>
      </c>
      <c r="C1038" t="s">
        <v>1924</v>
      </c>
      <c r="D1038">
        <v>13.27</v>
      </c>
      <c r="E1038">
        <v>0</v>
      </c>
      <c r="F1038" t="s">
        <v>1921</v>
      </c>
      <c r="G1038" t="s">
        <v>1921</v>
      </c>
      <c r="H1038">
        <v>0</v>
      </c>
      <c r="I1038">
        <v>267.692339</v>
      </c>
      <c r="J1038">
        <v>0</v>
      </c>
      <c r="K1038" t="s">
        <v>1921</v>
      </c>
      <c r="L1038">
        <v>0.764471487595617</v>
      </c>
      <c r="M1038">
        <v>15.33</v>
      </c>
      <c r="N1038">
        <v>5.95</v>
      </c>
    </row>
    <row r="1039" spans="1:14">
      <c r="A1039" s="1" t="s">
        <v>1051</v>
      </c>
      <c r="B1039">
        <f>HYPERLINK("https://www.suredividend.com/sure-analysis-MED/","Medifast Inc")</f>
        <v>0</v>
      </c>
      <c r="C1039" t="s">
        <v>1927</v>
      </c>
      <c r="D1039">
        <v>122.16</v>
      </c>
      <c r="E1039">
        <v>0.05370006548788474</v>
      </c>
      <c r="F1039">
        <v>0.154929577464789</v>
      </c>
      <c r="G1039">
        <v>0.2785582595476348</v>
      </c>
      <c r="H1039">
        <v>6.43264245894151</v>
      </c>
      <c r="I1039">
        <v>1334.840976</v>
      </c>
      <c r="J1039">
        <v>8.835793371637365</v>
      </c>
      <c r="K1039">
        <v>0.4880608845934378</v>
      </c>
      <c r="L1039">
        <v>0.9788727710480041</v>
      </c>
      <c r="M1039">
        <v>205.55</v>
      </c>
      <c r="N1039">
        <v>94.65000000000001</v>
      </c>
    </row>
    <row r="1040" spans="1:14">
      <c r="A1040" s="1" t="s">
        <v>1052</v>
      </c>
      <c r="B1040">
        <f>HYPERLINK("https://www.suredividend.com/sure-analysis-research-database/","Medpace Holdings Inc")</f>
        <v>0</v>
      </c>
      <c r="C1040" t="s">
        <v>1922</v>
      </c>
      <c r="D1040">
        <v>210.82</v>
      </c>
      <c r="E1040">
        <v>0</v>
      </c>
      <c r="F1040" t="s">
        <v>1921</v>
      </c>
      <c r="G1040" t="s">
        <v>1921</v>
      </c>
      <c r="H1040">
        <v>0</v>
      </c>
      <c r="I1040">
        <v>6556.480286</v>
      </c>
      <c r="J1040">
        <v>28.93658464540274</v>
      </c>
      <c r="K1040">
        <v>0</v>
      </c>
      <c r="L1040">
        <v>1.302626331252419</v>
      </c>
      <c r="M1040">
        <v>235.72</v>
      </c>
      <c r="N1040">
        <v>126.95</v>
      </c>
    </row>
    <row r="1041" spans="1:14">
      <c r="A1041" s="1" t="s">
        <v>1053</v>
      </c>
      <c r="B1041">
        <f>HYPERLINK("https://www.suredividend.com/sure-analysis-research-database/","Montrose Environmental Group Inc")</f>
        <v>0</v>
      </c>
      <c r="C1041" t="s">
        <v>1921</v>
      </c>
      <c r="D1041">
        <v>48.64</v>
      </c>
      <c r="E1041">
        <v>0</v>
      </c>
      <c r="F1041" t="s">
        <v>1921</v>
      </c>
      <c r="G1041" t="s">
        <v>1921</v>
      </c>
      <c r="H1041">
        <v>0</v>
      </c>
      <c r="I1041">
        <v>1445.17057</v>
      </c>
      <c r="J1041">
        <v>0</v>
      </c>
      <c r="K1041" t="s">
        <v>1921</v>
      </c>
      <c r="L1041">
        <v>1.617388003487642</v>
      </c>
      <c r="M1041">
        <v>60.22</v>
      </c>
      <c r="N1041">
        <v>28.36</v>
      </c>
    </row>
    <row r="1042" spans="1:14">
      <c r="A1042" s="1" t="s">
        <v>1054</v>
      </c>
      <c r="B1042">
        <f>HYPERLINK("https://www.suredividend.com/sure-analysis-research-database/","Methode Electronics, Inc.")</f>
        <v>0</v>
      </c>
      <c r="C1042" t="s">
        <v>1920</v>
      </c>
      <c r="D1042">
        <v>46.73</v>
      </c>
      <c r="E1042">
        <v>0.01191518696987</v>
      </c>
      <c r="F1042">
        <v>0</v>
      </c>
      <c r="G1042">
        <v>0.04941452284458392</v>
      </c>
      <c r="H1042">
        <v>0.5567966871020631</v>
      </c>
      <c r="I1042">
        <v>1686.563879</v>
      </c>
      <c r="J1042">
        <v>17.80954465987328</v>
      </c>
      <c r="K1042">
        <v>0.2183516420008091</v>
      </c>
      <c r="L1042">
        <v>0.9052549209402431</v>
      </c>
      <c r="M1042">
        <v>50.39</v>
      </c>
      <c r="N1042">
        <v>33.78</v>
      </c>
    </row>
    <row r="1043" spans="1:14">
      <c r="A1043" s="1" t="s">
        <v>1055</v>
      </c>
      <c r="B1043">
        <f>HYPERLINK("https://www.suredividend.com/sure-analysis-research-database/","MEI Pharma Inc")</f>
        <v>0</v>
      </c>
      <c r="C1043" t="s">
        <v>1922</v>
      </c>
      <c r="D1043">
        <v>0.3029</v>
      </c>
      <c r="E1043">
        <v>0</v>
      </c>
      <c r="F1043" t="s">
        <v>1921</v>
      </c>
      <c r="G1043" t="s">
        <v>1921</v>
      </c>
      <c r="H1043">
        <v>0</v>
      </c>
      <c r="I1043">
        <v>40.364716</v>
      </c>
      <c r="J1043" t="s">
        <v>1921</v>
      </c>
      <c r="K1043">
        <v>-0</v>
      </c>
      <c r="L1043">
        <v>1.007029234130814</v>
      </c>
      <c r="M1043">
        <v>2.53</v>
      </c>
      <c r="N1043">
        <v>0.2055</v>
      </c>
    </row>
    <row r="1044" spans="1:14">
      <c r="A1044" s="1" t="s">
        <v>1056</v>
      </c>
      <c r="B1044">
        <f>HYPERLINK("https://www.suredividend.com/sure-analysis-research-database/","Mesa Air Group Inc.")</f>
        <v>0</v>
      </c>
      <c r="C1044" t="s">
        <v>1924</v>
      </c>
      <c r="D1044">
        <v>2.33</v>
      </c>
      <c r="E1044">
        <v>0</v>
      </c>
      <c r="F1044" t="s">
        <v>1921</v>
      </c>
      <c r="G1044" t="s">
        <v>1921</v>
      </c>
      <c r="H1044">
        <v>0</v>
      </c>
      <c r="I1044">
        <v>84.75817000000001</v>
      </c>
      <c r="J1044">
        <v>0</v>
      </c>
      <c r="K1044" t="s">
        <v>1921</v>
      </c>
      <c r="L1044">
        <v>1.387705860416316</v>
      </c>
      <c r="M1044">
        <v>5.98</v>
      </c>
      <c r="N1044">
        <v>1.03</v>
      </c>
    </row>
    <row r="1045" spans="1:14">
      <c r="A1045" s="1" t="s">
        <v>1057</v>
      </c>
      <c r="B1045">
        <f>HYPERLINK("https://www.suredividend.com/sure-analysis-research-database/","MFA Financial Inc")</f>
        <v>0</v>
      </c>
      <c r="C1045" t="s">
        <v>1929</v>
      </c>
      <c r="D1045">
        <v>10.25</v>
      </c>
      <c r="E1045">
        <v>0.152885779709324</v>
      </c>
      <c r="F1045" t="s">
        <v>1921</v>
      </c>
      <c r="G1045" t="s">
        <v>1921</v>
      </c>
      <c r="H1045">
        <v>1.567079242020573</v>
      </c>
      <c r="I1045">
        <v>1043.418645</v>
      </c>
      <c r="J1045" t="s">
        <v>1921</v>
      </c>
      <c r="K1045" t="s">
        <v>1921</v>
      </c>
      <c r="L1045">
        <v>1.087952014890159</v>
      </c>
      <c r="M1045">
        <v>16.24</v>
      </c>
      <c r="N1045">
        <v>6.9</v>
      </c>
    </row>
    <row r="1046" spans="1:14">
      <c r="A1046" s="1" t="s">
        <v>1058</v>
      </c>
      <c r="B1046">
        <f>HYPERLINK("https://www.suredividend.com/sure-analysis-research-database/","Mistras Group Inc")</f>
        <v>0</v>
      </c>
      <c r="C1046" t="s">
        <v>1924</v>
      </c>
      <c r="D1046">
        <v>5</v>
      </c>
      <c r="E1046">
        <v>0</v>
      </c>
      <c r="F1046" t="s">
        <v>1921</v>
      </c>
      <c r="G1046" t="s">
        <v>1921</v>
      </c>
      <c r="H1046">
        <v>0</v>
      </c>
      <c r="I1046">
        <v>149.477435</v>
      </c>
      <c r="J1046">
        <v>42.01164558740865</v>
      </c>
      <c r="K1046">
        <v>0</v>
      </c>
      <c r="L1046">
        <v>0.7602862384094811</v>
      </c>
      <c r="M1046">
        <v>7.54</v>
      </c>
      <c r="N1046">
        <v>3.38</v>
      </c>
    </row>
    <row r="1047" spans="1:14">
      <c r="A1047" s="1" t="s">
        <v>1059</v>
      </c>
      <c r="B1047">
        <f>HYPERLINK("https://www.suredividend.com/sure-analysis-MGEE/","MGE Energy, Inc.")</f>
        <v>0</v>
      </c>
      <c r="C1047" t="s">
        <v>1930</v>
      </c>
      <c r="D1047">
        <v>71.34999999999999</v>
      </c>
      <c r="E1047">
        <v>0.02284512964260687</v>
      </c>
      <c r="F1047">
        <v>0.05161290322580658</v>
      </c>
      <c r="G1047">
        <v>0.04789936894460256</v>
      </c>
      <c r="H1047">
        <v>1.577264632622978</v>
      </c>
      <c r="I1047">
        <v>2580.25645</v>
      </c>
      <c r="J1047">
        <v>25.06052242596711</v>
      </c>
      <c r="K1047">
        <v>0.5534261868852555</v>
      </c>
      <c r="L1047">
        <v>0.446664395294894</v>
      </c>
      <c r="M1047">
        <v>85.31999999999999</v>
      </c>
      <c r="N1047">
        <v>61.31</v>
      </c>
    </row>
    <row r="1048" spans="1:14">
      <c r="A1048" s="1" t="s">
        <v>1060</v>
      </c>
      <c r="B1048">
        <f>HYPERLINK("https://www.suredividend.com/sure-analysis-research-database/","Moneygram International Inc.")</f>
        <v>0</v>
      </c>
      <c r="C1048" t="s">
        <v>1923</v>
      </c>
      <c r="D1048">
        <v>10.9</v>
      </c>
      <c r="E1048">
        <v>0</v>
      </c>
      <c r="F1048" t="s">
        <v>1921</v>
      </c>
      <c r="G1048" t="s">
        <v>1921</v>
      </c>
      <c r="H1048">
        <v>0</v>
      </c>
      <c r="I1048">
        <v>1052.340947</v>
      </c>
      <c r="J1048">
        <v>63.39403294578314</v>
      </c>
      <c r="K1048">
        <v>0</v>
      </c>
      <c r="L1048">
        <v>0.246846397260196</v>
      </c>
      <c r="M1048">
        <v>10.96</v>
      </c>
      <c r="N1048">
        <v>7.45</v>
      </c>
    </row>
    <row r="1049" spans="1:14">
      <c r="A1049" s="1" t="s">
        <v>1061</v>
      </c>
      <c r="B1049">
        <f>HYPERLINK("https://www.suredividend.com/sure-analysis-research-database/","Magnite Inc")</f>
        <v>0</v>
      </c>
      <c r="C1049" t="s">
        <v>1921</v>
      </c>
      <c r="D1049">
        <v>10.31</v>
      </c>
      <c r="E1049">
        <v>0</v>
      </c>
      <c r="F1049" t="s">
        <v>1921</v>
      </c>
      <c r="G1049" t="s">
        <v>1921</v>
      </c>
      <c r="H1049">
        <v>0</v>
      </c>
      <c r="I1049">
        <v>1375.196432</v>
      </c>
      <c r="J1049" t="s">
        <v>1921</v>
      </c>
      <c r="K1049">
        <v>-0</v>
      </c>
      <c r="L1049">
        <v>2.757455018378357</v>
      </c>
      <c r="M1049">
        <v>16.81</v>
      </c>
      <c r="N1049">
        <v>5.59</v>
      </c>
    </row>
    <row r="1050" spans="1:14">
      <c r="A1050" s="1" t="s">
        <v>1062</v>
      </c>
      <c r="B1050">
        <f>HYPERLINK("https://www.suredividend.com/sure-analysis-research-database/","Macrogenics Inc")</f>
        <v>0</v>
      </c>
      <c r="C1050" t="s">
        <v>1922</v>
      </c>
      <c r="D1050">
        <v>5.54</v>
      </c>
      <c r="E1050">
        <v>0</v>
      </c>
      <c r="F1050" t="s">
        <v>1921</v>
      </c>
      <c r="G1050" t="s">
        <v>1921</v>
      </c>
      <c r="H1050">
        <v>0</v>
      </c>
      <c r="I1050">
        <v>340.572724</v>
      </c>
      <c r="J1050">
        <v>0</v>
      </c>
      <c r="K1050" t="s">
        <v>1921</v>
      </c>
      <c r="L1050">
        <v>1.556955137789507</v>
      </c>
      <c r="M1050">
        <v>15.14</v>
      </c>
      <c r="N1050">
        <v>2.13</v>
      </c>
    </row>
    <row r="1051" spans="1:14">
      <c r="A1051" s="1" t="s">
        <v>1063</v>
      </c>
      <c r="B1051">
        <f>HYPERLINK("https://www.suredividend.com/sure-analysis-research-database/","MGP Ingredients, Inc.")</f>
        <v>0</v>
      </c>
      <c r="C1051" t="s">
        <v>1928</v>
      </c>
      <c r="D1051">
        <v>102.09</v>
      </c>
      <c r="E1051">
        <v>0.004694222548143</v>
      </c>
      <c r="F1051">
        <v>0</v>
      </c>
      <c r="G1051">
        <v>0.08447177119769855</v>
      </c>
      <c r="H1051">
        <v>0.4792331799399711</v>
      </c>
      <c r="I1051">
        <v>2245.371135</v>
      </c>
      <c r="J1051">
        <v>19.07544928417297</v>
      </c>
      <c r="K1051">
        <v>0.09093608727513683</v>
      </c>
      <c r="L1051">
        <v>0.7040577737615741</v>
      </c>
      <c r="M1051">
        <v>125.74</v>
      </c>
      <c r="N1051">
        <v>72.67</v>
      </c>
    </row>
    <row r="1052" spans="1:14">
      <c r="A1052" s="1" t="s">
        <v>1064</v>
      </c>
      <c r="B1052">
        <f>HYPERLINK("https://www.suredividend.com/sure-analysis-MGRC/","McGrath Rentcorp")</f>
        <v>0</v>
      </c>
      <c r="C1052" t="s">
        <v>1924</v>
      </c>
      <c r="D1052">
        <v>98.91</v>
      </c>
      <c r="E1052">
        <v>0.01840056617126681</v>
      </c>
      <c r="F1052">
        <v>0.04597701149425282</v>
      </c>
      <c r="G1052">
        <v>0.1184269147201447</v>
      </c>
      <c r="H1052">
        <v>1.785119503754775</v>
      </c>
      <c r="I1052">
        <v>2411.667635</v>
      </c>
      <c r="J1052">
        <v>23.20160504646733</v>
      </c>
      <c r="K1052">
        <v>0.4210187508855602</v>
      </c>
      <c r="L1052">
        <v>0.614987151881308</v>
      </c>
      <c r="M1052">
        <v>101.78</v>
      </c>
      <c r="N1052">
        <v>69.98</v>
      </c>
    </row>
    <row r="1053" spans="1:14">
      <c r="A1053" s="1" t="s">
        <v>1065</v>
      </c>
      <c r="B1053">
        <f>HYPERLINK("https://www.suredividend.com/sure-analysis-research-database/","Magenta Therapeutics Inc")</f>
        <v>0</v>
      </c>
      <c r="C1053" t="s">
        <v>1922</v>
      </c>
      <c r="D1053">
        <v>0.4849</v>
      </c>
      <c r="E1053">
        <v>0</v>
      </c>
      <c r="F1053" t="s">
        <v>1921</v>
      </c>
      <c r="G1053" t="s">
        <v>1921</v>
      </c>
      <c r="H1053">
        <v>0</v>
      </c>
      <c r="I1053">
        <v>29.363372</v>
      </c>
      <c r="J1053">
        <v>0</v>
      </c>
      <c r="K1053" t="s">
        <v>1921</v>
      </c>
      <c r="L1053">
        <v>1.031536712243646</v>
      </c>
      <c r="M1053">
        <v>5.45</v>
      </c>
      <c r="N1053">
        <v>0.321</v>
      </c>
    </row>
    <row r="1054" spans="1:14">
      <c r="A1054" s="1" t="s">
        <v>1066</v>
      </c>
      <c r="B1054">
        <f>HYPERLINK("https://www.suredividend.com/sure-analysis-research-database/","MeiraGTx Holdings plc")</f>
        <v>0</v>
      </c>
      <c r="C1054" t="s">
        <v>1922</v>
      </c>
      <c r="D1054">
        <v>6.33</v>
      </c>
      <c r="E1054">
        <v>0</v>
      </c>
      <c r="F1054" t="s">
        <v>1921</v>
      </c>
      <c r="G1054" t="s">
        <v>1921</v>
      </c>
      <c r="H1054">
        <v>0</v>
      </c>
      <c r="I1054">
        <v>306.860733</v>
      </c>
      <c r="J1054">
        <v>0</v>
      </c>
      <c r="K1054" t="s">
        <v>1921</v>
      </c>
      <c r="L1054">
        <v>1.02434059600142</v>
      </c>
      <c r="M1054">
        <v>20.92</v>
      </c>
      <c r="N1054">
        <v>5.7</v>
      </c>
    </row>
    <row r="1055" spans="1:14">
      <c r="A1055" s="1" t="s">
        <v>1067</v>
      </c>
      <c r="B1055">
        <f>HYPERLINK("https://www.suredividend.com/sure-analysis-research-database/","Magnolia Oil &amp; Gas Corp")</f>
        <v>0</v>
      </c>
      <c r="C1055" t="s">
        <v>1926</v>
      </c>
      <c r="D1055">
        <v>22.63</v>
      </c>
      <c r="E1055">
        <v>0.017584603077904</v>
      </c>
      <c r="F1055" t="s">
        <v>1921</v>
      </c>
      <c r="G1055" t="s">
        <v>1921</v>
      </c>
      <c r="H1055">
        <v>0.3979395676529741</v>
      </c>
      <c r="I1055">
        <v>4242.864461</v>
      </c>
      <c r="J1055">
        <v>5.223092717239834</v>
      </c>
      <c r="K1055">
        <v>0.09064682634464102</v>
      </c>
      <c r="L1055">
        <v>0.8853489409799841</v>
      </c>
      <c r="M1055">
        <v>30.06</v>
      </c>
      <c r="N1055">
        <v>17.86</v>
      </c>
    </row>
    <row r="1056" spans="1:14">
      <c r="A1056" s="1" t="s">
        <v>1068</v>
      </c>
      <c r="B1056">
        <f>HYPERLINK("https://www.suredividend.com/sure-analysis-research-database/","Maiden Holdings Ltd")</f>
        <v>0</v>
      </c>
      <c r="C1056" t="s">
        <v>1923</v>
      </c>
      <c r="D1056">
        <v>2.26</v>
      </c>
      <c r="E1056">
        <v>0</v>
      </c>
      <c r="F1056" t="s">
        <v>1921</v>
      </c>
      <c r="G1056" t="s">
        <v>1921</v>
      </c>
      <c r="H1056">
        <v>0</v>
      </c>
      <c r="I1056">
        <v>197.007588</v>
      </c>
      <c r="J1056">
        <v>5.718652764586356</v>
      </c>
      <c r="K1056">
        <v>0</v>
      </c>
      <c r="L1056">
        <v>0.827363302247329</v>
      </c>
      <c r="M1056">
        <v>3.01</v>
      </c>
      <c r="N1056">
        <v>1.8</v>
      </c>
    </row>
    <row r="1057" spans="1:14">
      <c r="A1057" s="1" t="s">
        <v>1069</v>
      </c>
      <c r="B1057">
        <f>HYPERLINK("https://www.suredividend.com/sure-analysis-research-database/","MI Homes Inc.")</f>
        <v>0</v>
      </c>
      <c r="C1057" t="s">
        <v>1927</v>
      </c>
      <c r="D1057">
        <v>50.27</v>
      </c>
      <c r="E1057">
        <v>0</v>
      </c>
      <c r="F1057" t="s">
        <v>1921</v>
      </c>
      <c r="G1057" t="s">
        <v>1921</v>
      </c>
      <c r="H1057">
        <v>0</v>
      </c>
      <c r="I1057">
        <v>1378.854975</v>
      </c>
      <c r="J1057">
        <v>2.911126307209965</v>
      </c>
      <c r="K1057">
        <v>0</v>
      </c>
      <c r="L1057">
        <v>1.332620334547777</v>
      </c>
      <c r="M1057">
        <v>60.49</v>
      </c>
      <c r="N1057">
        <v>34.33</v>
      </c>
    </row>
    <row r="1058" spans="1:14">
      <c r="A1058" s="1" t="s">
        <v>1070</v>
      </c>
      <c r="B1058">
        <f>HYPERLINK("https://www.suredividend.com/sure-analysis-research-database/","Metromile Inc")</f>
        <v>0</v>
      </c>
      <c r="C1058" t="s">
        <v>1921</v>
      </c>
      <c r="D1058">
        <v>1.05</v>
      </c>
      <c r="E1058">
        <v>0</v>
      </c>
      <c r="F1058" t="s">
        <v>1921</v>
      </c>
      <c r="G1058" t="s">
        <v>1921</v>
      </c>
      <c r="H1058">
        <v>0</v>
      </c>
      <c r="I1058">
        <v>0</v>
      </c>
      <c r="J1058">
        <v>0</v>
      </c>
      <c r="K1058" t="s">
        <v>1921</v>
      </c>
    </row>
    <row r="1059" spans="1:14">
      <c r="A1059" s="1" t="s">
        <v>1071</v>
      </c>
      <c r="B1059">
        <f>HYPERLINK("https://www.suredividend.com/sure-analysis-research-database/","Mimecast Ltd")</f>
        <v>0</v>
      </c>
      <c r="C1059" t="s">
        <v>1920</v>
      </c>
      <c r="D1059">
        <v>79.92</v>
      </c>
      <c r="E1059">
        <v>0</v>
      </c>
      <c r="F1059" t="s">
        <v>1921</v>
      </c>
      <c r="G1059" t="s">
        <v>1921</v>
      </c>
      <c r="H1059">
        <v>0</v>
      </c>
      <c r="I1059">
        <v>0</v>
      </c>
      <c r="J1059">
        <v>0</v>
      </c>
      <c r="K1059">
        <v>0</v>
      </c>
    </row>
    <row r="1060" spans="1:14">
      <c r="A1060" s="1" t="s">
        <v>1072</v>
      </c>
      <c r="B1060">
        <f>HYPERLINK("https://www.suredividend.com/sure-analysis-research-database/","Mirum Pharmaceuticals Inc")</f>
        <v>0</v>
      </c>
      <c r="C1060" t="s">
        <v>1922</v>
      </c>
      <c r="D1060">
        <v>20.02</v>
      </c>
      <c r="E1060">
        <v>0</v>
      </c>
      <c r="F1060" t="s">
        <v>1921</v>
      </c>
      <c r="G1060" t="s">
        <v>1921</v>
      </c>
      <c r="H1060">
        <v>0</v>
      </c>
      <c r="I1060">
        <v>738.145008</v>
      </c>
      <c r="J1060">
        <v>0</v>
      </c>
      <c r="K1060" t="s">
        <v>1921</v>
      </c>
      <c r="L1060">
        <v>0.6744035394886591</v>
      </c>
      <c r="M1060">
        <v>30.55</v>
      </c>
      <c r="N1060">
        <v>14.63</v>
      </c>
    </row>
    <row r="1061" spans="1:14">
      <c r="A1061" s="1" t="s">
        <v>1073</v>
      </c>
      <c r="B1061">
        <f>HYPERLINK("https://www.suredividend.com/sure-analysis-research-database/","Mitek Systems Inc")</f>
        <v>0</v>
      </c>
      <c r="C1061" t="s">
        <v>1920</v>
      </c>
      <c r="D1061">
        <v>9.57</v>
      </c>
      <c r="E1061">
        <v>0</v>
      </c>
      <c r="F1061" t="s">
        <v>1921</v>
      </c>
      <c r="G1061" t="s">
        <v>1921</v>
      </c>
      <c r="H1061">
        <v>0</v>
      </c>
      <c r="I1061">
        <v>427.591706</v>
      </c>
      <c r="J1061">
        <v>47.88797239668496</v>
      </c>
      <c r="K1061">
        <v>0</v>
      </c>
      <c r="L1061">
        <v>1.220053446030864</v>
      </c>
      <c r="M1061">
        <v>17.33</v>
      </c>
      <c r="N1061">
        <v>8.32</v>
      </c>
    </row>
    <row r="1062" spans="1:14">
      <c r="A1062" s="1" t="s">
        <v>1074</v>
      </c>
      <c r="B1062">
        <f>HYPERLINK("https://www.suredividend.com/sure-analysis-research-database/","Mesa Laboratories, Inc.")</f>
        <v>0</v>
      </c>
      <c r="C1062" t="s">
        <v>1920</v>
      </c>
      <c r="D1062">
        <v>178.79</v>
      </c>
      <c r="E1062">
        <v>0.003574770298268</v>
      </c>
      <c r="F1062" t="s">
        <v>1921</v>
      </c>
      <c r="G1062" t="s">
        <v>1921</v>
      </c>
      <c r="H1062">
        <v>0.639133181627467</v>
      </c>
      <c r="I1062">
        <v>954.167724</v>
      </c>
      <c r="J1062" t="s">
        <v>1921</v>
      </c>
      <c r="K1062" t="s">
        <v>1921</v>
      </c>
      <c r="L1062">
        <v>0.8722764690782501</v>
      </c>
      <c r="M1062">
        <v>305.43</v>
      </c>
      <c r="N1062">
        <v>114.1</v>
      </c>
    </row>
    <row r="1063" spans="1:14">
      <c r="A1063" s="1" t="s">
        <v>1075</v>
      </c>
      <c r="B1063">
        <f>HYPERLINK("https://www.suredividend.com/sure-analysis-MLI/","Mueller Industries, Inc.")</f>
        <v>0</v>
      </c>
      <c r="C1063" t="s">
        <v>1924</v>
      </c>
      <c r="D1063">
        <v>61.36</v>
      </c>
      <c r="E1063">
        <v>0.01629726205997392</v>
      </c>
      <c r="F1063">
        <v>0</v>
      </c>
      <c r="G1063">
        <v>0.2011244339814313</v>
      </c>
      <c r="H1063">
        <v>0.9941685271657841</v>
      </c>
      <c r="I1063">
        <v>3478.112936</v>
      </c>
      <c r="J1063">
        <v>5.392331195095897</v>
      </c>
      <c r="K1063">
        <v>0.0873610305066594</v>
      </c>
      <c r="L1063">
        <v>0.935020546119644</v>
      </c>
      <c r="M1063">
        <v>70.17</v>
      </c>
      <c r="N1063">
        <v>48.61</v>
      </c>
    </row>
    <row r="1064" spans="1:14">
      <c r="A1064" s="1" t="s">
        <v>1076</v>
      </c>
      <c r="B1064">
        <f>HYPERLINK("https://www.suredividend.com/sure-analysis-research-database/","MillerKnoll Inc")</f>
        <v>0</v>
      </c>
      <c r="C1064" t="s">
        <v>1921</v>
      </c>
      <c r="D1064">
        <v>22.17</v>
      </c>
      <c r="E1064">
        <v>0.033428002740405</v>
      </c>
      <c r="F1064" t="s">
        <v>1921</v>
      </c>
      <c r="G1064" t="s">
        <v>1921</v>
      </c>
      <c r="H1064">
        <v>0.7410988207547801</v>
      </c>
      <c r="I1064">
        <v>1675.089578</v>
      </c>
      <c r="J1064">
        <v>27.82540827458472</v>
      </c>
      <c r="K1064">
        <v>0.9312626548816034</v>
      </c>
      <c r="L1064">
        <v>1.255554686537003</v>
      </c>
      <c r="M1064">
        <v>40.56</v>
      </c>
      <c r="N1064">
        <v>15.4</v>
      </c>
    </row>
    <row r="1065" spans="1:14">
      <c r="A1065" s="1" t="s">
        <v>1077</v>
      </c>
      <c r="B1065">
        <f>HYPERLINK("https://www.suredividend.com/sure-analysis-research-database/","MeridianLink Inc")</f>
        <v>0</v>
      </c>
      <c r="C1065" t="s">
        <v>1921</v>
      </c>
      <c r="D1065">
        <v>14.75</v>
      </c>
      <c r="E1065">
        <v>0</v>
      </c>
      <c r="F1065" t="s">
        <v>1921</v>
      </c>
      <c r="G1065" t="s">
        <v>1921</v>
      </c>
      <c r="H1065">
        <v>0</v>
      </c>
      <c r="I1065">
        <v>1193.536223</v>
      </c>
      <c r="J1065">
        <v>0</v>
      </c>
      <c r="K1065" t="s">
        <v>1921</v>
      </c>
      <c r="L1065">
        <v>0.9936711812474501</v>
      </c>
      <c r="M1065">
        <v>21.12</v>
      </c>
      <c r="N1065">
        <v>12.49</v>
      </c>
    </row>
    <row r="1066" spans="1:14">
      <c r="A1066" s="1" t="s">
        <v>1078</v>
      </c>
      <c r="B1066">
        <f>HYPERLINK("https://www.suredividend.com/sure-analysis-MLR/","Miller Industries Inc.")</f>
        <v>0</v>
      </c>
      <c r="C1066" t="s">
        <v>1927</v>
      </c>
      <c r="D1066">
        <v>27.57</v>
      </c>
      <c r="E1066">
        <v>0.02611534276387377</v>
      </c>
      <c r="F1066">
        <v>0</v>
      </c>
      <c r="G1066">
        <v>0</v>
      </c>
      <c r="H1066">
        <v>0.712445717206287</v>
      </c>
      <c r="I1066">
        <v>314.75886</v>
      </c>
      <c r="J1066">
        <v>0</v>
      </c>
      <c r="K1066" t="s">
        <v>1921</v>
      </c>
      <c r="L1066">
        <v>0.638021717349029</v>
      </c>
      <c r="M1066">
        <v>33.91</v>
      </c>
      <c r="N1066">
        <v>20.86</v>
      </c>
    </row>
    <row r="1067" spans="1:14">
      <c r="A1067" s="1" t="s">
        <v>1079</v>
      </c>
      <c r="B1067">
        <f>HYPERLINK("https://www.suredividend.com/sure-analysis-research-database/","Meta Materials Inc")</f>
        <v>0</v>
      </c>
      <c r="C1067" t="s">
        <v>1921</v>
      </c>
      <c r="D1067">
        <v>1.13</v>
      </c>
      <c r="E1067">
        <v>0</v>
      </c>
      <c r="F1067" t="s">
        <v>1921</v>
      </c>
      <c r="G1067" t="s">
        <v>1921</v>
      </c>
      <c r="H1067">
        <v>0</v>
      </c>
      <c r="I1067">
        <v>408.521061</v>
      </c>
      <c r="J1067">
        <v>0</v>
      </c>
      <c r="K1067" t="s">
        <v>1921</v>
      </c>
      <c r="L1067">
        <v>0.9018875541606731</v>
      </c>
      <c r="M1067">
        <v>2.38</v>
      </c>
      <c r="N1067">
        <v>0.63</v>
      </c>
    </row>
    <row r="1068" spans="1:14">
      <c r="A1068" s="1" t="s">
        <v>1080</v>
      </c>
      <c r="B1068">
        <f>HYPERLINK("https://www.suredividend.com/sure-analysis-research-database/","Marcus &amp; Millichap Inc")</f>
        <v>0</v>
      </c>
      <c r="C1068" t="s">
        <v>1929</v>
      </c>
      <c r="D1068">
        <v>36.23</v>
      </c>
      <c r="E1068">
        <v>0.013754157701877</v>
      </c>
      <c r="F1068" t="s">
        <v>1921</v>
      </c>
      <c r="G1068" t="s">
        <v>1921</v>
      </c>
      <c r="H1068">
        <v>0.498313133539004</v>
      </c>
      <c r="I1068">
        <v>1426.220144</v>
      </c>
      <c r="J1068">
        <v>9.008976914364762</v>
      </c>
      <c r="K1068">
        <v>0.1271206973313786</v>
      </c>
      <c r="L1068">
        <v>1.042160972618488</v>
      </c>
      <c r="M1068">
        <v>57.94</v>
      </c>
      <c r="N1068">
        <v>31.11</v>
      </c>
    </row>
    <row r="1069" spans="1:14">
      <c r="A1069" s="1" t="s">
        <v>1081</v>
      </c>
      <c r="B1069">
        <f>HYPERLINK("https://www.suredividend.com/sure-analysis-MMS/","Maximus Inc.")</f>
        <v>0</v>
      </c>
      <c r="C1069" t="s">
        <v>1924</v>
      </c>
      <c r="D1069">
        <v>73</v>
      </c>
      <c r="E1069">
        <v>0.01534246575342466</v>
      </c>
      <c r="F1069">
        <v>0</v>
      </c>
      <c r="G1069">
        <v>0.4414152200702743</v>
      </c>
      <c r="H1069">
        <v>1.112605862547908</v>
      </c>
      <c r="I1069">
        <v>4436.447834</v>
      </c>
      <c r="J1069">
        <v>21.76564472987028</v>
      </c>
      <c r="K1069">
        <v>0.3381780737227684</v>
      </c>
      <c r="L1069">
        <v>0.763046013900303</v>
      </c>
      <c r="M1069">
        <v>78.73</v>
      </c>
      <c r="N1069">
        <v>54.22</v>
      </c>
    </row>
    <row r="1070" spans="1:14">
      <c r="A1070" s="1" t="s">
        <v>1082</v>
      </c>
      <c r="B1070">
        <f>HYPERLINK("https://www.suredividend.com/sure-analysis-research-database/","Merit Medical Systems, Inc.")</f>
        <v>0</v>
      </c>
      <c r="C1070" t="s">
        <v>1922</v>
      </c>
      <c r="D1070">
        <v>69.54000000000001</v>
      </c>
      <c r="E1070">
        <v>0</v>
      </c>
      <c r="F1070" t="s">
        <v>1921</v>
      </c>
      <c r="G1070" t="s">
        <v>1921</v>
      </c>
      <c r="H1070">
        <v>0</v>
      </c>
      <c r="I1070">
        <v>3958.175424</v>
      </c>
      <c r="J1070">
        <v>64.1228522501944</v>
      </c>
      <c r="K1070">
        <v>0</v>
      </c>
      <c r="L1070">
        <v>0.9374434797266461</v>
      </c>
      <c r="M1070">
        <v>76.14</v>
      </c>
      <c r="N1070">
        <v>50.46</v>
      </c>
    </row>
    <row r="1071" spans="1:14">
      <c r="A1071" s="1" t="s">
        <v>1083</v>
      </c>
      <c r="B1071">
        <f>HYPERLINK("https://www.suredividend.com/sure-analysis-research-database/","Mannkind Corp")</f>
        <v>0</v>
      </c>
      <c r="C1071" t="s">
        <v>1922</v>
      </c>
      <c r="D1071">
        <v>4.77</v>
      </c>
      <c r="E1071">
        <v>0</v>
      </c>
      <c r="F1071" t="s">
        <v>1921</v>
      </c>
      <c r="G1071" t="s">
        <v>1921</v>
      </c>
      <c r="H1071">
        <v>0</v>
      </c>
      <c r="I1071">
        <v>1255.442979</v>
      </c>
      <c r="J1071" t="s">
        <v>1921</v>
      </c>
      <c r="K1071">
        <v>-0</v>
      </c>
      <c r="L1071">
        <v>1.378113915491453</v>
      </c>
      <c r="M1071">
        <v>5.47</v>
      </c>
      <c r="N1071">
        <v>2.49</v>
      </c>
    </row>
    <row r="1072" spans="1:14">
      <c r="A1072" s="1" t="s">
        <v>1084</v>
      </c>
      <c r="B1072">
        <f>HYPERLINK("https://www.suredividend.com/sure-analysis-research-database/","Mind Medicine Inc")</f>
        <v>0</v>
      </c>
      <c r="C1072" t="s">
        <v>1921</v>
      </c>
      <c r="D1072">
        <v>2.66</v>
      </c>
      <c r="E1072">
        <v>0</v>
      </c>
      <c r="F1072" t="s">
        <v>1921</v>
      </c>
      <c r="G1072" t="s">
        <v>1921</v>
      </c>
      <c r="H1072">
        <v>0</v>
      </c>
      <c r="I1072">
        <v>101.024502</v>
      </c>
      <c r="J1072">
        <v>0</v>
      </c>
      <c r="K1072" t="s">
        <v>1921</v>
      </c>
      <c r="M1072">
        <v>19.95</v>
      </c>
      <c r="N1072">
        <v>2.12</v>
      </c>
    </row>
    <row r="1073" spans="1:14">
      <c r="A1073" s="1" t="s">
        <v>1085</v>
      </c>
      <c r="B1073">
        <f>HYPERLINK("https://www.suredividend.com/sure-analysis-research-database/","Brigham Minerals Inc")</f>
        <v>0</v>
      </c>
      <c r="C1073" t="s">
        <v>1926</v>
      </c>
      <c r="D1073">
        <v>32.5</v>
      </c>
      <c r="E1073">
        <v>0.041729037640231</v>
      </c>
      <c r="F1073">
        <v>-0.6363636363636364</v>
      </c>
      <c r="G1073">
        <v>-0.1347906410308923</v>
      </c>
      <c r="H1073">
        <v>1.356193723307521</v>
      </c>
      <c r="I1073">
        <v>1847.114945</v>
      </c>
      <c r="J1073">
        <v>0</v>
      </c>
      <c r="K1073" t="s">
        <v>1921</v>
      </c>
      <c r="L1073">
        <v>0.660765023043373</v>
      </c>
      <c r="M1073">
        <v>37.79</v>
      </c>
      <c r="N1073">
        <v>19.83</v>
      </c>
    </row>
    <row r="1074" spans="1:14">
      <c r="A1074" s="1" t="s">
        <v>1086</v>
      </c>
      <c r="B1074">
        <f>HYPERLINK("https://www.suredividend.com/sure-analysis-research-database/","Monro Inc")</f>
        <v>0</v>
      </c>
      <c r="C1074" t="s">
        <v>1927</v>
      </c>
      <c r="D1074">
        <v>46.7</v>
      </c>
      <c r="E1074">
        <v>0.023353390803835</v>
      </c>
      <c r="F1074">
        <v>0.07692307692307709</v>
      </c>
      <c r="G1074">
        <v>0.09238846414037316</v>
      </c>
      <c r="H1074">
        <v>1.090603350539127</v>
      </c>
      <c r="I1074">
        <v>1468.970542</v>
      </c>
      <c r="J1074">
        <v>29.37353614077185</v>
      </c>
      <c r="K1074">
        <v>0.7368941557696804</v>
      </c>
      <c r="L1074">
        <v>0.8137192468712091</v>
      </c>
      <c r="M1074">
        <v>57.87</v>
      </c>
      <c r="N1074">
        <v>36.84</v>
      </c>
    </row>
    <row r="1075" spans="1:14">
      <c r="A1075" s="1" t="s">
        <v>1087</v>
      </c>
      <c r="B1075">
        <f>HYPERLINK("https://www.suredividend.com/sure-analysis-research-database/","Momentive Global Inc")</f>
        <v>0</v>
      </c>
      <c r="C1075" t="s">
        <v>1921</v>
      </c>
      <c r="D1075">
        <v>7.06</v>
      </c>
      <c r="E1075">
        <v>0</v>
      </c>
      <c r="F1075" t="s">
        <v>1921</v>
      </c>
      <c r="G1075" t="s">
        <v>1921</v>
      </c>
      <c r="H1075">
        <v>0</v>
      </c>
      <c r="I1075">
        <v>1049.557977</v>
      </c>
      <c r="J1075" t="s">
        <v>1921</v>
      </c>
      <c r="K1075">
        <v>-0</v>
      </c>
      <c r="L1075">
        <v>1.43951101125865</v>
      </c>
      <c r="M1075">
        <v>19.61</v>
      </c>
      <c r="N1075">
        <v>5.14</v>
      </c>
    </row>
    <row r="1076" spans="1:14">
      <c r="A1076" s="1" t="s">
        <v>1088</v>
      </c>
      <c r="B1076">
        <f>HYPERLINK("https://www.suredividend.com/sure-analysis-research-database/","Modine Manufacturing Co.")</f>
        <v>0</v>
      </c>
      <c r="C1076" t="s">
        <v>1927</v>
      </c>
      <c r="D1076">
        <v>22.39</v>
      </c>
      <c r="E1076">
        <v>0</v>
      </c>
      <c r="F1076" t="s">
        <v>1921</v>
      </c>
      <c r="G1076" t="s">
        <v>1921</v>
      </c>
      <c r="H1076">
        <v>0</v>
      </c>
      <c r="I1076">
        <v>1166.505297</v>
      </c>
      <c r="J1076">
        <v>9.6246311660066</v>
      </c>
      <c r="K1076">
        <v>0</v>
      </c>
      <c r="L1076">
        <v>1.274529991611808</v>
      </c>
      <c r="M1076">
        <v>22.83</v>
      </c>
      <c r="N1076">
        <v>7.67</v>
      </c>
    </row>
    <row r="1077" spans="1:14">
      <c r="A1077" s="1" t="s">
        <v>1089</v>
      </c>
      <c r="B1077">
        <f>HYPERLINK("https://www.suredividend.com/sure-analysis-research-database/","Model N Inc")</f>
        <v>0</v>
      </c>
      <c r="C1077" t="s">
        <v>1920</v>
      </c>
      <c r="D1077">
        <v>40.76</v>
      </c>
      <c r="E1077">
        <v>0</v>
      </c>
      <c r="F1077" t="s">
        <v>1921</v>
      </c>
      <c r="G1077" t="s">
        <v>1921</v>
      </c>
      <c r="H1077">
        <v>0</v>
      </c>
      <c r="I1077">
        <v>1538.066005</v>
      </c>
      <c r="J1077">
        <v>0</v>
      </c>
      <c r="K1077" t="s">
        <v>1921</v>
      </c>
      <c r="L1077">
        <v>0.8152437486706681</v>
      </c>
      <c r="M1077">
        <v>42.45</v>
      </c>
      <c r="N1077">
        <v>20.95</v>
      </c>
    </row>
    <row r="1078" spans="1:14">
      <c r="A1078" s="1" t="s">
        <v>1090</v>
      </c>
      <c r="B1078">
        <f>HYPERLINK("https://www.suredividend.com/sure-analysis-research-database/","ModivCare Inc")</f>
        <v>0</v>
      </c>
      <c r="C1078" t="s">
        <v>1921</v>
      </c>
      <c r="D1078">
        <v>93.58</v>
      </c>
      <c r="E1078">
        <v>0</v>
      </c>
      <c r="F1078" t="s">
        <v>1921</v>
      </c>
      <c r="G1078" t="s">
        <v>1921</v>
      </c>
      <c r="H1078">
        <v>0</v>
      </c>
      <c r="I1078">
        <v>1323.06436</v>
      </c>
      <c r="J1078" t="s">
        <v>1921</v>
      </c>
      <c r="K1078">
        <v>-0</v>
      </c>
      <c r="L1078">
        <v>1.027699923190261</v>
      </c>
      <c r="M1078">
        <v>135.7</v>
      </c>
      <c r="N1078">
        <v>73.06</v>
      </c>
    </row>
    <row r="1079" spans="1:14">
      <c r="A1079" s="1" t="s">
        <v>1091</v>
      </c>
      <c r="B1079">
        <f>HYPERLINK("https://www.suredividend.com/sure-analysis-research-database/","MidWestOne Financial Group Inc")</f>
        <v>0</v>
      </c>
      <c r="C1079" t="s">
        <v>1923</v>
      </c>
      <c r="D1079">
        <v>31.6</v>
      </c>
      <c r="E1079">
        <v>0.029736444591496</v>
      </c>
      <c r="F1079">
        <v>0.05555555555555558</v>
      </c>
      <c r="G1079">
        <v>0.04022143939343303</v>
      </c>
      <c r="H1079">
        <v>0.9396716490912841</v>
      </c>
      <c r="I1079">
        <v>493.703548</v>
      </c>
      <c r="J1079">
        <v>8.355253058944982</v>
      </c>
      <c r="K1079">
        <v>0.2499126726306607</v>
      </c>
      <c r="L1079">
        <v>0.636402078188955</v>
      </c>
      <c r="M1079">
        <v>35.34</v>
      </c>
      <c r="N1079">
        <v>26.98</v>
      </c>
    </row>
    <row r="1080" spans="1:14">
      <c r="A1080" s="1" t="s">
        <v>1092</v>
      </c>
      <c r="B1080">
        <f>HYPERLINK("https://www.suredividend.com/sure-analysis-research-database/","Moog, Inc.")</f>
        <v>0</v>
      </c>
      <c r="C1080" t="s">
        <v>1921</v>
      </c>
      <c r="D1080">
        <v>74.89</v>
      </c>
      <c r="E1080">
        <v>0</v>
      </c>
      <c r="F1080" t="s">
        <v>1921</v>
      </c>
      <c r="G1080" t="s">
        <v>1921</v>
      </c>
      <c r="H1080">
        <v>1.014897578722234</v>
      </c>
      <c r="I1080">
        <v>2406.558505</v>
      </c>
      <c r="J1080">
        <v>0</v>
      </c>
      <c r="K1080" t="s">
        <v>1921</v>
      </c>
      <c r="L1080">
        <v>0.8284794631616721</v>
      </c>
    </row>
    <row r="1081" spans="1:14">
      <c r="A1081" s="1" t="s">
        <v>1093</v>
      </c>
      <c r="B1081">
        <f>HYPERLINK("https://www.suredividend.com/sure-analysis-research-database/","Morphic Holding Inc")</f>
        <v>0</v>
      </c>
      <c r="C1081" t="s">
        <v>1922</v>
      </c>
      <c r="D1081">
        <v>26.01</v>
      </c>
      <c r="E1081">
        <v>0</v>
      </c>
      <c r="F1081" t="s">
        <v>1921</v>
      </c>
      <c r="G1081" t="s">
        <v>1921</v>
      </c>
      <c r="H1081">
        <v>0</v>
      </c>
      <c r="I1081">
        <v>1002.751071</v>
      </c>
      <c r="J1081">
        <v>0</v>
      </c>
      <c r="K1081" t="s">
        <v>1921</v>
      </c>
      <c r="L1081">
        <v>1.576031332686665</v>
      </c>
      <c r="M1081">
        <v>48.26</v>
      </c>
      <c r="N1081">
        <v>19.23</v>
      </c>
    </row>
    <row r="1082" spans="1:14">
      <c r="A1082" s="1" t="s">
        <v>1094</v>
      </c>
      <c r="B1082">
        <f>HYPERLINK("https://www.suredividend.com/sure-analysis-research-database/","Movado Group, Inc.")</f>
        <v>0</v>
      </c>
      <c r="C1082" t="s">
        <v>1927</v>
      </c>
      <c r="D1082">
        <v>34.61</v>
      </c>
      <c r="E1082">
        <v>0.040019758093525</v>
      </c>
      <c r="F1082" t="s">
        <v>1921</v>
      </c>
      <c r="G1082" t="s">
        <v>1921</v>
      </c>
      <c r="H1082">
        <v>1.385083827616918</v>
      </c>
      <c r="I1082">
        <v>549.927081</v>
      </c>
      <c r="J1082">
        <v>5.329938658228094</v>
      </c>
      <c r="K1082">
        <v>0.3112547927229029</v>
      </c>
      <c r="L1082">
        <v>1.21070953594982</v>
      </c>
      <c r="M1082">
        <v>40.52</v>
      </c>
      <c r="N1082">
        <v>27.42</v>
      </c>
    </row>
    <row r="1083" spans="1:14">
      <c r="A1083" s="1" t="s">
        <v>1095</v>
      </c>
      <c r="B1083">
        <f>HYPERLINK("https://www.suredividend.com/sure-analysis-research-database/","MP Materials Corporation")</f>
        <v>0</v>
      </c>
      <c r="C1083" t="s">
        <v>1921</v>
      </c>
      <c r="D1083">
        <v>27.09</v>
      </c>
      <c r="E1083">
        <v>0</v>
      </c>
      <c r="F1083" t="s">
        <v>1921</v>
      </c>
      <c r="G1083" t="s">
        <v>1921</v>
      </c>
      <c r="H1083">
        <v>0</v>
      </c>
      <c r="I1083">
        <v>4809.640601</v>
      </c>
      <c r="J1083">
        <v>17.74866820215804</v>
      </c>
      <c r="K1083">
        <v>0</v>
      </c>
      <c r="M1083">
        <v>36.09</v>
      </c>
      <c r="N1083">
        <v>23.5</v>
      </c>
    </row>
    <row r="1084" spans="1:14">
      <c r="A1084" s="1" t="s">
        <v>1096</v>
      </c>
      <c r="B1084">
        <f>HYPERLINK("https://www.suredividend.com/sure-analysis-research-database/","Motorcar Parts of America Inc.")</f>
        <v>0</v>
      </c>
      <c r="C1084" t="s">
        <v>1927</v>
      </c>
      <c r="D1084">
        <v>12.72</v>
      </c>
      <c r="E1084">
        <v>0</v>
      </c>
      <c r="F1084" t="s">
        <v>1921</v>
      </c>
      <c r="G1084" t="s">
        <v>1921</v>
      </c>
      <c r="H1084">
        <v>0</v>
      </c>
      <c r="I1084">
        <v>247.050142</v>
      </c>
      <c r="J1084">
        <v>0</v>
      </c>
      <c r="K1084" t="s">
        <v>1921</v>
      </c>
      <c r="L1084">
        <v>0.9250870399342951</v>
      </c>
      <c r="M1084">
        <v>19.93</v>
      </c>
      <c r="N1084">
        <v>9.800000000000001</v>
      </c>
    </row>
    <row r="1085" spans="1:14">
      <c r="A1085" s="1" t="s">
        <v>1097</v>
      </c>
      <c r="B1085">
        <f>HYPERLINK("https://www.suredividend.com/sure-analysis-research-database/","Mid Penn Bancorp, Inc.")</f>
        <v>0</v>
      </c>
      <c r="C1085" t="s">
        <v>1923</v>
      </c>
      <c r="D1085">
        <v>30.31</v>
      </c>
      <c r="E1085">
        <v>0.026133830025714</v>
      </c>
      <c r="F1085">
        <v>0</v>
      </c>
      <c r="G1085">
        <v>0.05922384104881218</v>
      </c>
      <c r="H1085">
        <v>0.7921163880794171</v>
      </c>
      <c r="I1085">
        <v>481.409274</v>
      </c>
      <c r="J1085">
        <v>0</v>
      </c>
      <c r="K1085" t="s">
        <v>1921</v>
      </c>
      <c r="L1085">
        <v>0.5345670223736271</v>
      </c>
      <c r="M1085">
        <v>34.78</v>
      </c>
      <c r="N1085">
        <v>24.49</v>
      </c>
    </row>
    <row r="1086" spans="1:14">
      <c r="A1086" s="1" t="s">
        <v>1098</v>
      </c>
      <c r="B1086">
        <f>HYPERLINK("https://www.suredividend.com/sure-analysis-research-database/","MultiPlan Corp")</f>
        <v>0</v>
      </c>
      <c r="C1086" t="s">
        <v>1921</v>
      </c>
      <c r="D1086">
        <v>1.16</v>
      </c>
      <c r="E1086">
        <v>0</v>
      </c>
      <c r="F1086" t="s">
        <v>1921</v>
      </c>
      <c r="G1086" t="s">
        <v>1921</v>
      </c>
      <c r="H1086">
        <v>0</v>
      </c>
      <c r="I1086">
        <v>741.382915</v>
      </c>
      <c r="J1086">
        <v>0</v>
      </c>
      <c r="K1086" t="s">
        <v>1921</v>
      </c>
      <c r="L1086">
        <v>1.112026563298783</v>
      </c>
      <c r="M1086">
        <v>6.19</v>
      </c>
      <c r="N1086">
        <v>0.981</v>
      </c>
    </row>
    <row r="1087" spans="1:14">
      <c r="A1087" s="1" t="s">
        <v>1099</v>
      </c>
      <c r="B1087">
        <f>HYPERLINK("https://www.suredividend.com/sure-analysis-research-database/","Marine Products Corp")</f>
        <v>0</v>
      </c>
      <c r="C1087" t="s">
        <v>1927</v>
      </c>
      <c r="D1087">
        <v>12.29</v>
      </c>
      <c r="E1087">
        <v>0.040024289527507</v>
      </c>
      <c r="F1087">
        <v>0.1666666666666667</v>
      </c>
      <c r="G1087">
        <v>0.06961037572506878</v>
      </c>
      <c r="H1087">
        <v>0.491898518293066</v>
      </c>
      <c r="I1087">
        <v>420.534083</v>
      </c>
      <c r="J1087">
        <v>11.62692036771821</v>
      </c>
      <c r="K1087">
        <v>0.4640552059368547</v>
      </c>
      <c r="L1087">
        <v>1.013986648717458</v>
      </c>
      <c r="M1087">
        <v>12.96</v>
      </c>
      <c r="N1087">
        <v>7.65</v>
      </c>
    </row>
    <row r="1088" spans="1:14">
      <c r="A1088" s="1" t="s">
        <v>1100</v>
      </c>
      <c r="B1088">
        <f>HYPERLINK("https://www.suredividend.com/sure-analysis-research-database/","MRC Global Inc")</f>
        <v>0</v>
      </c>
      <c r="C1088" t="s">
        <v>1926</v>
      </c>
      <c r="D1088">
        <v>11.88</v>
      </c>
      <c r="E1088">
        <v>0</v>
      </c>
      <c r="F1088" t="s">
        <v>1921</v>
      </c>
      <c r="G1088" t="s">
        <v>1921</v>
      </c>
      <c r="H1088">
        <v>0</v>
      </c>
      <c r="I1088">
        <v>993.269919</v>
      </c>
      <c r="J1088">
        <v>38.20268917384615</v>
      </c>
      <c r="K1088">
        <v>0</v>
      </c>
      <c r="L1088">
        <v>0.8731192452564941</v>
      </c>
      <c r="M1088">
        <v>13.45</v>
      </c>
      <c r="N1088">
        <v>7.03</v>
      </c>
    </row>
    <row r="1089" spans="1:14">
      <c r="A1089" s="1" t="s">
        <v>1101</v>
      </c>
      <c r="B1089">
        <f>HYPERLINK("https://www.suredividend.com/sure-analysis-research-database/","Marinus Pharmaceuticals Inc")</f>
        <v>0</v>
      </c>
      <c r="C1089" t="s">
        <v>1922</v>
      </c>
      <c r="D1089">
        <v>4.34</v>
      </c>
      <c r="E1089">
        <v>0</v>
      </c>
      <c r="F1089" t="s">
        <v>1921</v>
      </c>
      <c r="G1089" t="s">
        <v>1921</v>
      </c>
      <c r="H1089">
        <v>0</v>
      </c>
      <c r="I1089">
        <v>207.117646</v>
      </c>
      <c r="J1089">
        <v>0</v>
      </c>
      <c r="K1089" t="s">
        <v>1921</v>
      </c>
      <c r="L1089">
        <v>1.36769065322275</v>
      </c>
      <c r="M1089">
        <v>12.37</v>
      </c>
      <c r="N1089">
        <v>3.47</v>
      </c>
    </row>
    <row r="1090" spans="1:14">
      <c r="A1090" s="1" t="s">
        <v>1102</v>
      </c>
      <c r="B1090">
        <f>HYPERLINK("https://www.suredividend.com/sure-analysis-research-database/","Mersana Therapeutics Inc")</f>
        <v>0</v>
      </c>
      <c r="C1090" t="s">
        <v>1922</v>
      </c>
      <c r="D1090">
        <v>5.51</v>
      </c>
      <c r="E1090">
        <v>0</v>
      </c>
      <c r="F1090" t="s">
        <v>1921</v>
      </c>
      <c r="G1090" t="s">
        <v>1921</v>
      </c>
      <c r="H1090">
        <v>0</v>
      </c>
      <c r="I1090">
        <v>549.753952</v>
      </c>
      <c r="J1090">
        <v>0</v>
      </c>
      <c r="K1090" t="s">
        <v>1921</v>
      </c>
      <c r="L1090">
        <v>1.381163997879668</v>
      </c>
      <c r="M1090">
        <v>8.34</v>
      </c>
      <c r="N1090">
        <v>2.68</v>
      </c>
    </row>
    <row r="1091" spans="1:14">
      <c r="A1091" s="1" t="s">
        <v>1103</v>
      </c>
      <c r="B1091">
        <f>HYPERLINK("https://www.suredividend.com/sure-analysis-research-database/","Marten Transport, Ltd.")</f>
        <v>0</v>
      </c>
      <c r="C1091" t="s">
        <v>1924</v>
      </c>
      <c r="D1091">
        <v>19.86</v>
      </c>
      <c r="E1091">
        <v>0.012029180430579</v>
      </c>
      <c r="F1091">
        <v>0.5</v>
      </c>
      <c r="G1091">
        <v>0.1913578981670916</v>
      </c>
      <c r="H1091">
        <v>0.238899523351304</v>
      </c>
      <c r="I1091">
        <v>1610.579112</v>
      </c>
      <c r="J1091">
        <v>14.69908835922242</v>
      </c>
      <c r="K1091">
        <v>0.1796237017678977</v>
      </c>
      <c r="L1091">
        <v>0.7425943681067051</v>
      </c>
      <c r="M1091">
        <v>23.29</v>
      </c>
      <c r="N1091">
        <v>15.61</v>
      </c>
    </row>
    <row r="1092" spans="1:14">
      <c r="A1092" s="1" t="s">
        <v>1104</v>
      </c>
      <c r="B1092">
        <f>HYPERLINK("https://www.suredividend.com/sure-analysis-research-database/","Midland States Bancorp Inc")</f>
        <v>0</v>
      </c>
      <c r="C1092" t="s">
        <v>1923</v>
      </c>
      <c r="D1092">
        <v>26.7</v>
      </c>
      <c r="E1092">
        <v>0.04231599034057301</v>
      </c>
      <c r="F1092">
        <v>0</v>
      </c>
      <c r="G1092">
        <v>0.05680549653640732</v>
      </c>
      <c r="H1092">
        <v>1.129836942093306</v>
      </c>
      <c r="I1092">
        <v>591.390849</v>
      </c>
      <c r="J1092">
        <v>6.625485648666816</v>
      </c>
      <c r="K1092">
        <v>0.2831671534068436</v>
      </c>
      <c r="L1092">
        <v>0.619304307933623</v>
      </c>
      <c r="M1092">
        <v>29.21</v>
      </c>
      <c r="N1092">
        <v>22.92</v>
      </c>
    </row>
    <row r="1093" spans="1:14">
      <c r="A1093" s="1" t="s">
        <v>1105</v>
      </c>
      <c r="B1093">
        <f>HYPERLINK("https://www.suredividend.com/sure-analysis-MSEX/","Middlesex Water Co.")</f>
        <v>0</v>
      </c>
      <c r="C1093" t="s">
        <v>1930</v>
      </c>
      <c r="D1093">
        <v>79.98999999999999</v>
      </c>
      <c r="E1093">
        <v>0.01562695336917115</v>
      </c>
      <c r="F1093">
        <v>0.07758620689655182</v>
      </c>
      <c r="G1093">
        <v>0.06909770076071187</v>
      </c>
      <c r="H1093">
        <v>1.176713378433056</v>
      </c>
      <c r="I1093">
        <v>1410.911214</v>
      </c>
      <c r="J1093">
        <v>33.29505413559562</v>
      </c>
      <c r="K1093">
        <v>0.4902972410137733</v>
      </c>
      <c r="L1093">
        <v>0.5742926808165451</v>
      </c>
      <c r="M1093">
        <v>108.43</v>
      </c>
      <c r="N1093">
        <v>73.94</v>
      </c>
    </row>
    <row r="1094" spans="1:14">
      <c r="A1094" s="1" t="s">
        <v>1106</v>
      </c>
      <c r="B1094">
        <f>HYPERLINK("https://www.suredividend.com/sure-analysis-research-database/","Madison Square Garden Entertainment Corp")</f>
        <v>0</v>
      </c>
      <c r="C1094" t="s">
        <v>1921</v>
      </c>
      <c r="D1094">
        <v>46.61</v>
      </c>
      <c r="E1094">
        <v>0</v>
      </c>
      <c r="F1094" t="s">
        <v>1921</v>
      </c>
      <c r="G1094" t="s">
        <v>1921</v>
      </c>
      <c r="H1094">
        <v>0</v>
      </c>
      <c r="I1094">
        <v>1290.310177</v>
      </c>
      <c r="J1094">
        <v>0</v>
      </c>
      <c r="K1094" t="s">
        <v>1921</v>
      </c>
      <c r="L1094">
        <v>1.00274226213071</v>
      </c>
      <c r="M1094">
        <v>84.56999999999999</v>
      </c>
      <c r="N1094">
        <v>38.98</v>
      </c>
    </row>
    <row r="1095" spans="1:14">
      <c r="A1095" s="1" t="s">
        <v>1107</v>
      </c>
      <c r="B1095">
        <f>HYPERLINK("https://www.suredividend.com/sure-analysis-research-database/","Microstrategy Inc.")</f>
        <v>0</v>
      </c>
      <c r="C1095" t="s">
        <v>1920</v>
      </c>
      <c r="D1095">
        <v>175.01</v>
      </c>
      <c r="E1095">
        <v>0</v>
      </c>
      <c r="F1095" t="s">
        <v>1921</v>
      </c>
      <c r="G1095" t="s">
        <v>1921</v>
      </c>
      <c r="H1095">
        <v>0</v>
      </c>
      <c r="I1095">
        <v>1636.989987</v>
      </c>
      <c r="J1095" t="s">
        <v>1921</v>
      </c>
      <c r="K1095">
        <v>-0</v>
      </c>
      <c r="L1095">
        <v>3.010332143292047</v>
      </c>
      <c r="M1095">
        <v>529.98</v>
      </c>
      <c r="N1095">
        <v>132.56</v>
      </c>
    </row>
    <row r="1096" spans="1:14">
      <c r="A1096" s="1" t="s">
        <v>1108</v>
      </c>
      <c r="B1096">
        <f>HYPERLINK("https://www.suredividend.com/sure-analysis-research-database/","Matador Resources Co")</f>
        <v>0</v>
      </c>
      <c r="C1096" t="s">
        <v>1926</v>
      </c>
      <c r="D1096">
        <v>56.32</v>
      </c>
      <c r="E1096">
        <v>0.005317872953944001</v>
      </c>
      <c r="F1096" t="s">
        <v>1921</v>
      </c>
      <c r="G1096" t="s">
        <v>1921</v>
      </c>
      <c r="H1096">
        <v>0.299502604766133</v>
      </c>
      <c r="I1096">
        <v>6654.856806</v>
      </c>
      <c r="J1096">
        <v>5.662724774932692</v>
      </c>
      <c r="K1096">
        <v>0.03053033687728165</v>
      </c>
      <c r="L1096">
        <v>1.056552102026852</v>
      </c>
      <c r="M1096">
        <v>73.68000000000001</v>
      </c>
      <c r="N1096">
        <v>37.31</v>
      </c>
    </row>
    <row r="1097" spans="1:14">
      <c r="A1097" s="1" t="s">
        <v>1109</v>
      </c>
      <c r="B1097">
        <f>HYPERLINK("https://www.suredividend.com/sure-analysis-research-database/","Molecular Templates Inc")</f>
        <v>0</v>
      </c>
      <c r="C1097" t="s">
        <v>1922</v>
      </c>
      <c r="D1097">
        <v>0.41</v>
      </c>
      <c r="E1097">
        <v>0</v>
      </c>
      <c r="F1097" t="s">
        <v>1921</v>
      </c>
      <c r="G1097" t="s">
        <v>1921</v>
      </c>
      <c r="H1097">
        <v>0</v>
      </c>
      <c r="I1097">
        <v>23.104175</v>
      </c>
      <c r="J1097" t="s">
        <v>1921</v>
      </c>
      <c r="K1097">
        <v>-0</v>
      </c>
      <c r="L1097">
        <v>1.612352465377092</v>
      </c>
      <c r="M1097">
        <v>4.24</v>
      </c>
      <c r="N1097">
        <v>0.31</v>
      </c>
    </row>
    <row r="1098" spans="1:14">
      <c r="A1098" s="1" t="s">
        <v>1110</v>
      </c>
      <c r="B1098">
        <f>HYPERLINK("https://www.suredividend.com/sure-analysis-research-database/","Meritage Homes Corp.")</f>
        <v>0</v>
      </c>
      <c r="C1098" t="s">
        <v>1927</v>
      </c>
      <c r="D1098">
        <v>99.38</v>
      </c>
      <c r="E1098">
        <v>0</v>
      </c>
      <c r="F1098" t="s">
        <v>1921</v>
      </c>
      <c r="G1098" t="s">
        <v>1921</v>
      </c>
      <c r="H1098">
        <v>0</v>
      </c>
      <c r="I1098">
        <v>3634.465036</v>
      </c>
      <c r="J1098">
        <v>3.75738021532389</v>
      </c>
      <c r="K1098">
        <v>0</v>
      </c>
      <c r="L1098">
        <v>1.238699692509791</v>
      </c>
      <c r="M1098">
        <v>117.54</v>
      </c>
      <c r="N1098">
        <v>62.51</v>
      </c>
    </row>
    <row r="1099" spans="1:14">
      <c r="A1099" s="1" t="s">
        <v>1111</v>
      </c>
      <c r="B1099">
        <f>HYPERLINK("https://www.suredividend.com/sure-analysis-research-database/","Meritor Inc")</f>
        <v>0</v>
      </c>
      <c r="C1099" t="s">
        <v>1927</v>
      </c>
      <c r="D1099">
        <v>36.5</v>
      </c>
      <c r="E1099">
        <v>0</v>
      </c>
      <c r="F1099" t="s">
        <v>1921</v>
      </c>
      <c r="G1099" t="s">
        <v>1921</v>
      </c>
      <c r="H1099">
        <v>0</v>
      </c>
      <c r="I1099">
        <v>2586.229364</v>
      </c>
      <c r="J1099">
        <v>11.75558801590909</v>
      </c>
      <c r="K1099">
        <v>0</v>
      </c>
      <c r="L1099">
        <v>0.264769734473721</v>
      </c>
      <c r="M1099">
        <v>36.5</v>
      </c>
      <c r="N1099">
        <v>20.5</v>
      </c>
    </row>
    <row r="1100" spans="1:14">
      <c r="A1100" s="1" t="s">
        <v>1112</v>
      </c>
      <c r="B1100">
        <f>HYPERLINK("https://www.suredividend.com/sure-analysis-research-database/","Materion Corp")</f>
        <v>0</v>
      </c>
      <c r="C1100" t="s">
        <v>1925</v>
      </c>
      <c r="D1100">
        <v>93</v>
      </c>
      <c r="E1100">
        <v>0.005310884934241001</v>
      </c>
      <c r="F1100">
        <v>0.04166666666666674</v>
      </c>
      <c r="G1100">
        <v>0.03548578845590522</v>
      </c>
      <c r="H1100">
        <v>0.4939122988844251</v>
      </c>
      <c r="I1100">
        <v>1909.116834</v>
      </c>
      <c r="J1100">
        <v>24.82306146224759</v>
      </c>
      <c r="K1100">
        <v>0.1334898105093041</v>
      </c>
      <c r="L1100">
        <v>1.145701608230599</v>
      </c>
      <c r="M1100">
        <v>97.61</v>
      </c>
      <c r="N1100">
        <v>64.79000000000001</v>
      </c>
    </row>
    <row r="1101" spans="1:14">
      <c r="A1101" s="1" t="s">
        <v>1113</v>
      </c>
      <c r="B1101">
        <f>HYPERLINK("https://www.suredividend.com/sure-analysis-research-database/","Matrix Service Co.")</f>
        <v>0</v>
      </c>
      <c r="C1101" t="s">
        <v>1926</v>
      </c>
      <c r="D1101">
        <v>7.73</v>
      </c>
      <c r="E1101">
        <v>0</v>
      </c>
      <c r="F1101" t="s">
        <v>1921</v>
      </c>
      <c r="G1101" t="s">
        <v>1921</v>
      </c>
      <c r="H1101">
        <v>0</v>
      </c>
      <c r="I1101">
        <v>208.921207</v>
      </c>
      <c r="J1101" t="s">
        <v>1921</v>
      </c>
      <c r="K1101">
        <v>-0</v>
      </c>
      <c r="L1101">
        <v>0.817597121042532</v>
      </c>
      <c r="M1101">
        <v>9.140000000000001</v>
      </c>
      <c r="N1101">
        <v>3.31</v>
      </c>
    </row>
    <row r="1102" spans="1:14">
      <c r="A1102" s="1" t="s">
        <v>1114</v>
      </c>
      <c r="B1102">
        <f>HYPERLINK("https://www.suredividend.com/sure-analysis-research-database/","MACOM Technology Solutions Holdings Inc")</f>
        <v>0</v>
      </c>
      <c r="C1102" t="s">
        <v>1920</v>
      </c>
      <c r="D1102">
        <v>65.81</v>
      </c>
      <c r="E1102">
        <v>0</v>
      </c>
      <c r="F1102" t="s">
        <v>1921</v>
      </c>
      <c r="G1102" t="s">
        <v>1921</v>
      </c>
      <c r="H1102">
        <v>0</v>
      </c>
      <c r="I1102">
        <v>4650.688852</v>
      </c>
      <c r="J1102">
        <v>10.57082849796002</v>
      </c>
      <c r="K1102">
        <v>0</v>
      </c>
      <c r="L1102">
        <v>1.387592599749691</v>
      </c>
      <c r="M1102">
        <v>76.41</v>
      </c>
      <c r="N1102">
        <v>42.85</v>
      </c>
    </row>
    <row r="1103" spans="1:14">
      <c r="A1103" s="1" t="s">
        <v>1115</v>
      </c>
      <c r="B1103">
        <f>HYPERLINK("https://www.suredividend.com/sure-analysis-research-database/","Manitowoc Co., Inc.")</f>
        <v>0</v>
      </c>
      <c r="C1103" t="s">
        <v>1924</v>
      </c>
      <c r="D1103">
        <v>10.26</v>
      </c>
      <c r="E1103">
        <v>0</v>
      </c>
      <c r="F1103" t="s">
        <v>1921</v>
      </c>
      <c r="G1103" t="s">
        <v>1921</v>
      </c>
      <c r="H1103">
        <v>0</v>
      </c>
      <c r="I1103">
        <v>360.993514</v>
      </c>
      <c r="J1103">
        <v>21.36056294556213</v>
      </c>
      <c r="K1103">
        <v>0</v>
      </c>
      <c r="L1103">
        <v>1.377699587841447</v>
      </c>
      <c r="M1103">
        <v>19.61</v>
      </c>
      <c r="N1103">
        <v>7.53</v>
      </c>
    </row>
    <row r="1104" spans="1:14">
      <c r="A1104" s="1" t="s">
        <v>1116</v>
      </c>
      <c r="B1104">
        <f>HYPERLINK("https://www.suredividend.com/sure-analysis-research-database/","Minerals Technologies, Inc.")</f>
        <v>0</v>
      </c>
      <c r="C1104" t="s">
        <v>1925</v>
      </c>
      <c r="D1104">
        <v>64.75</v>
      </c>
      <c r="E1104">
        <v>0.003084932480408</v>
      </c>
      <c r="F1104">
        <v>0</v>
      </c>
      <c r="G1104">
        <v>0</v>
      </c>
      <c r="H1104">
        <v>0.199749378106471</v>
      </c>
      <c r="I1104">
        <v>2101.154529</v>
      </c>
      <c r="J1104">
        <v>14.631995329039</v>
      </c>
      <c r="K1104">
        <v>0.04591939726585541</v>
      </c>
      <c r="L1104">
        <v>0.936432791841136</v>
      </c>
      <c r="M1104">
        <v>74.25</v>
      </c>
      <c r="N1104">
        <v>49.34</v>
      </c>
    </row>
    <row r="1105" spans="1:14">
      <c r="A1105" s="1" t="s">
        <v>1117</v>
      </c>
      <c r="B1105">
        <f>HYPERLINK("https://www.suredividend.com/sure-analysis-research-database/","Murphy Oil Corp.")</f>
        <v>0</v>
      </c>
      <c r="C1105" t="s">
        <v>1926</v>
      </c>
      <c r="D1105">
        <v>41.9</v>
      </c>
      <c r="E1105">
        <v>0.019439424715365</v>
      </c>
      <c r="F1105">
        <v>0.6666666666666667</v>
      </c>
      <c r="G1105">
        <v>0</v>
      </c>
      <c r="H1105">
        <v>0.8145118955738251</v>
      </c>
      <c r="I1105">
        <v>6513.576358</v>
      </c>
      <c r="J1105">
        <v>6.973484643418065</v>
      </c>
      <c r="K1105">
        <v>0.1357519825956375</v>
      </c>
      <c r="L1105">
        <v>0.971531678525631</v>
      </c>
      <c r="M1105">
        <v>51.29</v>
      </c>
      <c r="N1105">
        <v>25.51</v>
      </c>
    </row>
    <row r="1106" spans="1:14">
      <c r="A1106" s="1" t="s">
        <v>1118</v>
      </c>
      <c r="B1106">
        <f>HYPERLINK("https://www.suredividend.com/sure-analysis-research-database/","Murphy USA Inc")</f>
        <v>0</v>
      </c>
      <c r="C1106" t="s">
        <v>1927</v>
      </c>
      <c r="D1106">
        <v>265.55</v>
      </c>
      <c r="E1106">
        <v>0.004774709962955001</v>
      </c>
      <c r="F1106" t="s">
        <v>1921</v>
      </c>
      <c r="G1106" t="s">
        <v>1921</v>
      </c>
      <c r="H1106">
        <v>1.267924230662829</v>
      </c>
      <c r="I1106">
        <v>5999.837231</v>
      </c>
      <c r="J1106">
        <v>9.035899444427711</v>
      </c>
      <c r="K1106">
        <v>0.0472225039353009</v>
      </c>
      <c r="L1106">
        <v>0.59413961028239</v>
      </c>
      <c r="M1106">
        <v>322.63</v>
      </c>
      <c r="N1106">
        <v>163.73</v>
      </c>
    </row>
    <row r="1107" spans="1:14">
      <c r="A1107" s="1" t="s">
        <v>1119</v>
      </c>
      <c r="B1107">
        <f>HYPERLINK("https://www.suredividend.com/sure-analysis-research-database/","MVB Financial Corp.")</f>
        <v>0</v>
      </c>
      <c r="C1107" t="s">
        <v>1923</v>
      </c>
      <c r="D1107">
        <v>22.92</v>
      </c>
      <c r="E1107">
        <v>0.029432829281529</v>
      </c>
      <c r="F1107">
        <v>0.1333333333333335</v>
      </c>
      <c r="G1107">
        <v>0.4672421091215282</v>
      </c>
      <c r="H1107">
        <v>0.6746004471326611</v>
      </c>
      <c r="I1107">
        <v>289.157918</v>
      </c>
      <c r="J1107">
        <v>0</v>
      </c>
      <c r="K1107" t="s">
        <v>1921</v>
      </c>
      <c r="L1107">
        <v>0.6149115452022761</v>
      </c>
      <c r="M1107">
        <v>43.67</v>
      </c>
      <c r="N1107">
        <v>21.35</v>
      </c>
    </row>
    <row r="1108" spans="1:14">
      <c r="A1108" s="1" t="s">
        <v>1120</v>
      </c>
      <c r="B1108">
        <f>HYPERLINK("https://www.suredividend.com/sure-analysis-research-database/","Microvision Inc.")</f>
        <v>0</v>
      </c>
      <c r="C1108" t="s">
        <v>1920</v>
      </c>
      <c r="D1108">
        <v>2.47</v>
      </c>
      <c r="E1108">
        <v>0</v>
      </c>
      <c r="F1108" t="s">
        <v>1921</v>
      </c>
      <c r="G1108" t="s">
        <v>1921</v>
      </c>
      <c r="H1108">
        <v>0</v>
      </c>
      <c r="I1108">
        <v>410.107169</v>
      </c>
      <c r="J1108" t="s">
        <v>1921</v>
      </c>
      <c r="K1108">
        <v>-0</v>
      </c>
      <c r="L1108">
        <v>2.147045798029143</v>
      </c>
      <c r="M1108">
        <v>5.96</v>
      </c>
      <c r="N1108">
        <v>2.11</v>
      </c>
    </row>
    <row r="1109" spans="1:14">
      <c r="A1109" s="1" t="s">
        <v>1121</v>
      </c>
      <c r="B1109">
        <f>HYPERLINK("https://www.suredividend.com/sure-analysis-MWA/","Mueller Water Products Inc")</f>
        <v>0</v>
      </c>
      <c r="C1109" t="s">
        <v>1924</v>
      </c>
      <c r="D1109">
        <v>11.35</v>
      </c>
      <c r="E1109">
        <v>0.02114537444933921</v>
      </c>
      <c r="F1109">
        <v>0.05172413793103448</v>
      </c>
      <c r="G1109">
        <v>0.04057159395880827</v>
      </c>
      <c r="H1109">
        <v>0.233218921967881</v>
      </c>
      <c r="I1109">
        <v>1772.818914</v>
      </c>
      <c r="J1109">
        <v>23.14385004765013</v>
      </c>
      <c r="K1109">
        <v>0.4810621327720318</v>
      </c>
      <c r="L1109">
        <v>0.8698667685048571</v>
      </c>
      <c r="M1109">
        <v>13.72</v>
      </c>
      <c r="N1109">
        <v>9.84</v>
      </c>
    </row>
    <row r="1110" spans="1:14">
      <c r="A1110" s="1" t="s">
        <v>1122</v>
      </c>
      <c r="B1110">
        <f>HYPERLINK("https://www.suredividend.com/sure-analysis-research-database/","MaxCyte Inc")</f>
        <v>0</v>
      </c>
      <c r="C1110" t="s">
        <v>1921</v>
      </c>
      <c r="D1110">
        <v>5.13</v>
      </c>
      <c r="E1110">
        <v>0</v>
      </c>
      <c r="F1110" t="s">
        <v>1921</v>
      </c>
      <c r="G1110" t="s">
        <v>1921</v>
      </c>
      <c r="H1110">
        <v>0</v>
      </c>
      <c r="I1110">
        <v>0</v>
      </c>
      <c r="J1110">
        <v>0</v>
      </c>
      <c r="K1110" t="s">
        <v>1921</v>
      </c>
    </row>
    <row r="1111" spans="1:14">
      <c r="A1111" s="1" t="s">
        <v>1123</v>
      </c>
      <c r="B1111">
        <f>HYPERLINK("https://www.suredividend.com/sure-analysis-research-database/","MaxLinear Inc")</f>
        <v>0</v>
      </c>
      <c r="C1111" t="s">
        <v>1920</v>
      </c>
      <c r="D1111">
        <v>34.81</v>
      </c>
      <c r="E1111">
        <v>0</v>
      </c>
      <c r="F1111" t="s">
        <v>1921</v>
      </c>
      <c r="G1111" t="s">
        <v>1921</v>
      </c>
      <c r="H1111">
        <v>0</v>
      </c>
      <c r="I1111">
        <v>2734.879606</v>
      </c>
      <c r="J1111">
        <v>22.39208427965547</v>
      </c>
      <c r="K1111">
        <v>0</v>
      </c>
      <c r="L1111">
        <v>1.962985623632495</v>
      </c>
      <c r="M1111">
        <v>68.75</v>
      </c>
      <c r="N1111">
        <v>29.27</v>
      </c>
    </row>
    <row r="1112" spans="1:14">
      <c r="A1112" s="1" t="s">
        <v>1124</v>
      </c>
      <c r="B1112">
        <f>HYPERLINK("https://www.suredividend.com/sure-analysis-research-database/","Myers Industries Inc.")</f>
        <v>0</v>
      </c>
      <c r="C1112" t="s">
        <v>1927</v>
      </c>
      <c r="D1112">
        <v>23.33</v>
      </c>
      <c r="E1112">
        <v>0.022931472147807</v>
      </c>
      <c r="F1112">
        <v>0</v>
      </c>
      <c r="G1112">
        <v>0</v>
      </c>
      <c r="H1112">
        <v>0.5349912452083551</v>
      </c>
      <c r="I1112">
        <v>851.483969</v>
      </c>
      <c r="J1112">
        <v>15.74082095463452</v>
      </c>
      <c r="K1112">
        <v>0.3614805710867264</v>
      </c>
      <c r="L1112">
        <v>0.748787811231971</v>
      </c>
      <c r="M1112">
        <v>25.07</v>
      </c>
      <c r="N1112">
        <v>15.41</v>
      </c>
    </row>
    <row r="1113" spans="1:14">
      <c r="A1113" s="1" t="s">
        <v>1125</v>
      </c>
      <c r="B1113">
        <f>HYPERLINK("https://www.suredividend.com/sure-analysis-research-database/","Myriad Genetics, Inc.")</f>
        <v>0</v>
      </c>
      <c r="C1113" t="s">
        <v>1922</v>
      </c>
      <c r="D1113">
        <v>16.73</v>
      </c>
      <c r="E1113">
        <v>0</v>
      </c>
      <c r="F1113" t="s">
        <v>1921</v>
      </c>
      <c r="G1113" t="s">
        <v>1921</v>
      </c>
      <c r="H1113">
        <v>0</v>
      </c>
      <c r="I1113">
        <v>1355.695742</v>
      </c>
      <c r="J1113" t="s">
        <v>1921</v>
      </c>
      <c r="K1113">
        <v>-0</v>
      </c>
      <c r="L1113">
        <v>1.431814355139103</v>
      </c>
      <c r="M1113">
        <v>28.18</v>
      </c>
      <c r="N1113">
        <v>13.92</v>
      </c>
    </row>
    <row r="1114" spans="1:14">
      <c r="A1114" s="1" t="s">
        <v>1126</v>
      </c>
      <c r="B1114">
        <f>HYPERLINK("https://www.suredividend.com/sure-analysis-research-database/","MYR Group Inc")</f>
        <v>0</v>
      </c>
      <c r="C1114" t="s">
        <v>1924</v>
      </c>
      <c r="D1114">
        <v>97</v>
      </c>
      <c r="E1114">
        <v>0</v>
      </c>
      <c r="F1114" t="s">
        <v>1921</v>
      </c>
      <c r="G1114" t="s">
        <v>1921</v>
      </c>
      <c r="H1114">
        <v>0</v>
      </c>
      <c r="I1114">
        <v>1610.273138</v>
      </c>
      <c r="J1114">
        <v>20.25500802515723</v>
      </c>
      <c r="K1114">
        <v>0</v>
      </c>
      <c r="L1114">
        <v>0.7997747065891661</v>
      </c>
      <c r="M1114">
        <v>102.75</v>
      </c>
      <c r="N1114">
        <v>74.77</v>
      </c>
    </row>
    <row r="1115" spans="1:14">
      <c r="A1115" s="1" t="s">
        <v>1127</v>
      </c>
      <c r="B1115">
        <f>HYPERLINK("https://www.suredividend.com/sure-analysis-research-database/","Duckhorn Portfolio Inc (The)")</f>
        <v>0</v>
      </c>
      <c r="C1115" t="s">
        <v>1921</v>
      </c>
      <c r="D1115">
        <v>15.92</v>
      </c>
      <c r="E1115">
        <v>0</v>
      </c>
      <c r="F1115" t="s">
        <v>1921</v>
      </c>
      <c r="G1115" t="s">
        <v>1921</v>
      </c>
      <c r="H1115">
        <v>0</v>
      </c>
      <c r="I1115">
        <v>1833.732353</v>
      </c>
      <c r="J1115">
        <v>0</v>
      </c>
      <c r="K1115" t="s">
        <v>1921</v>
      </c>
      <c r="L1115">
        <v>0.8478194747527711</v>
      </c>
      <c r="M1115">
        <v>22.29</v>
      </c>
      <c r="N1115">
        <v>12.64</v>
      </c>
    </row>
    <row r="1116" spans="1:14">
      <c r="A1116" s="1" t="s">
        <v>1128</v>
      </c>
      <c r="B1116">
        <f>HYPERLINK("https://www.suredividend.com/sure-analysis-research-database/","Inari Medical Inc")</f>
        <v>0</v>
      </c>
      <c r="C1116" t="s">
        <v>1921</v>
      </c>
      <c r="D1116">
        <v>64</v>
      </c>
      <c r="E1116">
        <v>0</v>
      </c>
      <c r="F1116" t="s">
        <v>1921</v>
      </c>
      <c r="G1116" t="s">
        <v>1921</v>
      </c>
      <c r="H1116">
        <v>0</v>
      </c>
      <c r="I1116">
        <v>3433.7824</v>
      </c>
      <c r="J1116">
        <v>0</v>
      </c>
      <c r="K1116" t="s">
        <v>1921</v>
      </c>
      <c r="L1116">
        <v>1.502033507289298</v>
      </c>
      <c r="M1116">
        <v>100</v>
      </c>
      <c r="N1116">
        <v>50.5</v>
      </c>
    </row>
    <row r="1117" spans="1:14">
      <c r="A1117" s="1" t="s">
        <v>1129</v>
      </c>
      <c r="B1117">
        <f>HYPERLINK("https://www.suredividend.com/sure-analysis-research-database/","Nordic American Tankers Ltd")</f>
        <v>0</v>
      </c>
      <c r="C1117" t="s">
        <v>1924</v>
      </c>
      <c r="D1117">
        <v>2.92</v>
      </c>
      <c r="E1117">
        <v>0.037270843951655</v>
      </c>
      <c r="F1117">
        <v>4</v>
      </c>
      <c r="G1117">
        <v>0.1075663432482901</v>
      </c>
      <c r="H1117">
        <v>0.108830864338835</v>
      </c>
      <c r="I1117">
        <v>564.9008229999999</v>
      </c>
      <c r="J1117" t="s">
        <v>1921</v>
      </c>
      <c r="K1117" t="s">
        <v>1921</v>
      </c>
      <c r="L1117">
        <v>0.639831685233708</v>
      </c>
      <c r="M1117">
        <v>3.89</v>
      </c>
      <c r="N1117">
        <v>1.35</v>
      </c>
    </row>
    <row r="1118" spans="1:14">
      <c r="A1118" s="1" t="s">
        <v>1130</v>
      </c>
      <c r="B1118">
        <f>HYPERLINK("https://www.suredividend.com/sure-analysis-research-database/","Nathan`s Famous, Inc.")</f>
        <v>0</v>
      </c>
      <c r="C1118" t="s">
        <v>1927</v>
      </c>
      <c r="D1118">
        <v>68.8</v>
      </c>
      <c r="E1118">
        <v>0.025876637309216</v>
      </c>
      <c r="F1118" t="s">
        <v>1921</v>
      </c>
      <c r="G1118" t="s">
        <v>1921</v>
      </c>
      <c r="H1118">
        <v>1.780312646874073</v>
      </c>
      <c r="I1118">
        <v>280.684736</v>
      </c>
      <c r="J1118">
        <v>0</v>
      </c>
      <c r="K1118" t="s">
        <v>1921</v>
      </c>
      <c r="L1118">
        <v>0.4277051743097131</v>
      </c>
      <c r="M1118">
        <v>70.04000000000001</v>
      </c>
      <c r="N1118">
        <v>44.47</v>
      </c>
    </row>
    <row r="1119" spans="1:14">
      <c r="A1119" s="1" t="s">
        <v>1131</v>
      </c>
      <c r="B1119">
        <f>HYPERLINK("https://www.suredividend.com/sure-analysis-research-database/","Nature`s Sunshine Products, Inc.")</f>
        <v>0</v>
      </c>
      <c r="C1119" t="s">
        <v>1928</v>
      </c>
      <c r="D1119">
        <v>9.119999999999999</v>
      </c>
      <c r="E1119">
        <v>0</v>
      </c>
      <c r="F1119" t="s">
        <v>1921</v>
      </c>
      <c r="G1119" t="s">
        <v>1921</v>
      </c>
      <c r="H1119">
        <v>0</v>
      </c>
      <c r="I1119">
        <v>174.799711</v>
      </c>
      <c r="J1119">
        <v>15.75481849481748</v>
      </c>
      <c r="K1119">
        <v>0</v>
      </c>
      <c r="L1119">
        <v>0.533181193214137</v>
      </c>
      <c r="M1119">
        <v>19.26</v>
      </c>
      <c r="N1119">
        <v>7.93</v>
      </c>
    </row>
    <row r="1120" spans="1:14">
      <c r="A1120" s="1" t="s">
        <v>1132</v>
      </c>
      <c r="B1120">
        <f>HYPERLINK("https://www.suredividend.com/sure-analysis-NAVI/","Navient Corp")</f>
        <v>0</v>
      </c>
      <c r="C1120" t="s">
        <v>1923</v>
      </c>
      <c r="D1120">
        <v>16.89</v>
      </c>
      <c r="E1120">
        <v>0.0378922439313203</v>
      </c>
      <c r="F1120">
        <v>0</v>
      </c>
      <c r="G1120">
        <v>0</v>
      </c>
      <c r="H1120">
        <v>0.630466374460483</v>
      </c>
      <c r="I1120">
        <v>2290.523382</v>
      </c>
      <c r="J1120">
        <v>4.329911875179584</v>
      </c>
      <c r="K1120">
        <v>0.1791097654717281</v>
      </c>
      <c r="L1120">
        <v>1.142266362172794</v>
      </c>
      <c r="M1120">
        <v>21.71</v>
      </c>
      <c r="N1120">
        <v>12.2</v>
      </c>
    </row>
    <row r="1121" spans="1:14">
      <c r="A1121" s="1" t="s">
        <v>1133</v>
      </c>
      <c r="B1121">
        <f>HYPERLINK("https://www.suredividend.com/sure-analysis-research-database/","NewAge Inc")</f>
        <v>0</v>
      </c>
      <c r="C1121" t="s">
        <v>1928</v>
      </c>
      <c r="D1121">
        <v>0.065</v>
      </c>
      <c r="E1121">
        <v>0</v>
      </c>
      <c r="F1121" t="s">
        <v>1921</v>
      </c>
      <c r="G1121" t="s">
        <v>1921</v>
      </c>
      <c r="H1121">
        <v>0</v>
      </c>
      <c r="I1121">
        <v>0</v>
      </c>
      <c r="J1121">
        <v>0</v>
      </c>
      <c r="K1121">
        <v>-0</v>
      </c>
    </row>
    <row r="1122" spans="1:14">
      <c r="A1122" s="1" t="s">
        <v>1134</v>
      </c>
      <c r="B1122">
        <f>HYPERLINK("https://www.suredividend.com/sure-analysis-research-database/","National Bank Holdings Corp")</f>
        <v>0</v>
      </c>
      <c r="C1122" t="s">
        <v>1923</v>
      </c>
      <c r="D1122">
        <v>43.25</v>
      </c>
      <c r="E1122">
        <v>0.021562918327657</v>
      </c>
      <c r="F1122">
        <v>0.1363636363636365</v>
      </c>
      <c r="G1122">
        <v>0.2267032046963888</v>
      </c>
      <c r="H1122">
        <v>0.9325962176711891</v>
      </c>
      <c r="I1122">
        <v>1625.951745</v>
      </c>
      <c r="J1122">
        <v>21.07602038964574</v>
      </c>
      <c r="K1122">
        <v>0.3730384870684756</v>
      </c>
      <c r="L1122">
        <v>0.7020230085569541</v>
      </c>
      <c r="M1122">
        <v>49.74</v>
      </c>
      <c r="N1122">
        <v>35.45</v>
      </c>
    </row>
    <row r="1123" spans="1:14">
      <c r="A1123" s="1" t="s">
        <v>1135</v>
      </c>
      <c r="B1123">
        <f>HYPERLINK("https://www.suredividend.com/sure-analysis-research-database/","Nabors Industries Ltd")</f>
        <v>0</v>
      </c>
      <c r="C1123" t="s">
        <v>1926</v>
      </c>
      <c r="D1123">
        <v>153.76</v>
      </c>
      <c r="E1123">
        <v>0</v>
      </c>
      <c r="F1123" t="s">
        <v>1921</v>
      </c>
      <c r="G1123" t="s">
        <v>1921</v>
      </c>
      <c r="H1123">
        <v>0</v>
      </c>
      <c r="I1123">
        <v>1447.761876</v>
      </c>
      <c r="J1123" t="s">
        <v>1921</v>
      </c>
      <c r="K1123">
        <v>-0</v>
      </c>
      <c r="L1123">
        <v>1.27383635475322</v>
      </c>
      <c r="M1123">
        <v>207.67</v>
      </c>
      <c r="N1123">
        <v>91.58</v>
      </c>
    </row>
    <row r="1124" spans="1:14">
      <c r="A1124" s="1" t="s">
        <v>1136</v>
      </c>
      <c r="B1124">
        <f>HYPERLINK("https://www.suredividend.com/sure-analysis-research-database/","NBT Bancorp. Inc.")</f>
        <v>0</v>
      </c>
      <c r="C1124" t="s">
        <v>1923</v>
      </c>
      <c r="D1124">
        <v>42.29</v>
      </c>
      <c r="E1124">
        <v>0.027149350090612</v>
      </c>
      <c r="F1124">
        <v>0.0714285714285714</v>
      </c>
      <c r="G1124">
        <v>0.05457794330579446</v>
      </c>
      <c r="H1124">
        <v>1.148146015331989</v>
      </c>
      <c r="I1124">
        <v>1811.699498</v>
      </c>
      <c r="J1124">
        <v>11.8269499286479</v>
      </c>
      <c r="K1124">
        <v>0.324335032579658</v>
      </c>
      <c r="L1124">
        <v>0.500808750797154</v>
      </c>
      <c r="M1124">
        <v>48.37</v>
      </c>
      <c r="N1124">
        <v>33.84</v>
      </c>
    </row>
    <row r="1125" spans="1:14">
      <c r="A1125" s="1" t="s">
        <v>1137</v>
      </c>
      <c r="B1125">
        <f>HYPERLINK("https://www.suredividend.com/sure-analysis-research-database/","Nicolet Bankshares Inc.")</f>
        <v>0</v>
      </c>
      <c r="C1125" t="s">
        <v>1923</v>
      </c>
      <c r="D1125">
        <v>78.01000000000001</v>
      </c>
      <c r="E1125">
        <v>0</v>
      </c>
      <c r="F1125" t="s">
        <v>1921</v>
      </c>
      <c r="G1125" t="s">
        <v>1921</v>
      </c>
      <c r="H1125">
        <v>0</v>
      </c>
      <c r="I1125">
        <v>994.903566</v>
      </c>
      <c r="J1125">
        <v>0</v>
      </c>
      <c r="K1125" t="s">
        <v>1921</v>
      </c>
    </row>
    <row r="1126" spans="1:14">
      <c r="A1126" s="1" t="s">
        <v>1138</v>
      </c>
      <c r="B1126">
        <f>HYPERLINK("https://www.suredividend.com/sure-analysis-research-database/","National Cinemedia Inc")</f>
        <v>0</v>
      </c>
      <c r="C1126" t="s">
        <v>1931</v>
      </c>
      <c r="D1126">
        <v>0.2914</v>
      </c>
      <c r="E1126">
        <v>0.368814301258899</v>
      </c>
      <c r="F1126" t="s">
        <v>1921</v>
      </c>
      <c r="G1126" t="s">
        <v>1921</v>
      </c>
      <c r="H1126">
        <v>0.107472487386843</v>
      </c>
      <c r="I1126">
        <v>23.894844</v>
      </c>
      <c r="J1126" t="s">
        <v>1921</v>
      </c>
      <c r="K1126" t="s">
        <v>1921</v>
      </c>
      <c r="L1126">
        <v>1.522192896642718</v>
      </c>
      <c r="M1126">
        <v>3.21</v>
      </c>
      <c r="N1126">
        <v>0.22</v>
      </c>
    </row>
    <row r="1127" spans="1:14">
      <c r="A1127" s="1" t="s">
        <v>1139</v>
      </c>
      <c r="B1127">
        <f>HYPERLINK("https://www.suredividend.com/sure-analysis-research-database/","Noodles &amp; Company")</f>
        <v>0</v>
      </c>
      <c r="C1127" t="s">
        <v>1927</v>
      </c>
      <c r="D1127">
        <v>5.67</v>
      </c>
      <c r="E1127">
        <v>0</v>
      </c>
      <c r="F1127" t="s">
        <v>1921</v>
      </c>
      <c r="G1127" t="s">
        <v>1921</v>
      </c>
      <c r="H1127">
        <v>0</v>
      </c>
      <c r="I1127">
        <v>260.959261</v>
      </c>
      <c r="J1127">
        <v>0</v>
      </c>
      <c r="K1127" t="s">
        <v>1921</v>
      </c>
      <c r="L1127">
        <v>1.436922414748708</v>
      </c>
      <c r="M1127">
        <v>9.630000000000001</v>
      </c>
      <c r="N1127">
        <v>4.25</v>
      </c>
    </row>
    <row r="1128" spans="1:14">
      <c r="A1128" s="1" t="s">
        <v>1140</v>
      </c>
      <c r="B1128">
        <f>HYPERLINK("https://www.suredividend.com/sure-analysis-research-database/","Neogenomics Inc.")</f>
        <v>0</v>
      </c>
      <c r="C1128" t="s">
        <v>1922</v>
      </c>
      <c r="D1128">
        <v>9.960000000000001</v>
      </c>
      <c r="E1128">
        <v>0</v>
      </c>
      <c r="F1128" t="s">
        <v>1921</v>
      </c>
      <c r="G1128" t="s">
        <v>1921</v>
      </c>
      <c r="H1128">
        <v>0</v>
      </c>
      <c r="I1128">
        <v>1257.98048</v>
      </c>
      <c r="J1128" t="s">
        <v>1921</v>
      </c>
      <c r="K1128">
        <v>-0</v>
      </c>
      <c r="L1128">
        <v>1.856005796099674</v>
      </c>
      <c r="M1128">
        <v>28.49</v>
      </c>
      <c r="N1128">
        <v>6</v>
      </c>
    </row>
    <row r="1129" spans="1:14">
      <c r="A1129" s="1" t="s">
        <v>1141</v>
      </c>
      <c r="B1129">
        <f>HYPERLINK("https://www.suredividend.com/sure-analysis-research-database/","Neogen Corp.")</f>
        <v>0</v>
      </c>
      <c r="C1129" t="s">
        <v>1922</v>
      </c>
      <c r="D1129">
        <v>17.04</v>
      </c>
      <c r="E1129">
        <v>0</v>
      </c>
      <c r="F1129" t="s">
        <v>1921</v>
      </c>
      <c r="G1129" t="s">
        <v>1921</v>
      </c>
      <c r="H1129">
        <v>0</v>
      </c>
      <c r="I1129">
        <v>1837.554919</v>
      </c>
      <c r="J1129">
        <v>50.4282477345701</v>
      </c>
      <c r="K1129">
        <v>0</v>
      </c>
      <c r="L1129">
        <v>1.043330053223182</v>
      </c>
      <c r="M1129">
        <v>40.54</v>
      </c>
      <c r="N1129">
        <v>10.49</v>
      </c>
    </row>
    <row r="1130" spans="1:14">
      <c r="A1130" s="1" t="s">
        <v>1142</v>
      </c>
      <c r="B1130">
        <f>HYPERLINK("https://www.suredividend.com/sure-analysis-research-database/","National Energy Services Reunited Corp")</f>
        <v>0</v>
      </c>
      <c r="C1130" t="s">
        <v>1926</v>
      </c>
      <c r="D1130">
        <v>7.11</v>
      </c>
      <c r="E1130">
        <v>0</v>
      </c>
      <c r="F1130" t="s">
        <v>1921</v>
      </c>
      <c r="G1130" t="s">
        <v>1921</v>
      </c>
      <c r="H1130">
        <v>0</v>
      </c>
      <c r="I1130">
        <v>645.962036</v>
      </c>
      <c r="J1130">
        <v>0</v>
      </c>
      <c r="K1130" t="s">
        <v>1921</v>
      </c>
      <c r="L1130">
        <v>0.797064135055075</v>
      </c>
      <c r="M1130">
        <v>10.92</v>
      </c>
      <c r="N1130">
        <v>5.64</v>
      </c>
    </row>
    <row r="1131" spans="1:14">
      <c r="A1131" s="1" t="s">
        <v>1143</v>
      </c>
      <c r="B1131">
        <f>HYPERLINK("https://www.suredividend.com/sure-analysis-research-database/","NexTier Oilfield Solutions Inc")</f>
        <v>0</v>
      </c>
      <c r="C1131" t="s">
        <v>1926</v>
      </c>
      <c r="D1131">
        <v>8.91</v>
      </c>
      <c r="E1131">
        <v>0</v>
      </c>
      <c r="F1131" t="s">
        <v>1921</v>
      </c>
      <c r="G1131" t="s">
        <v>1921</v>
      </c>
      <c r="H1131">
        <v>0</v>
      </c>
      <c r="I1131">
        <v>2187.670972</v>
      </c>
      <c r="J1131">
        <v>11.34460517330609</v>
      </c>
      <c r="K1131">
        <v>0</v>
      </c>
      <c r="L1131">
        <v>0.9326843633758741</v>
      </c>
      <c r="M1131">
        <v>12.5</v>
      </c>
      <c r="N1131">
        <v>4.82</v>
      </c>
    </row>
    <row r="1132" spans="1:14">
      <c r="A1132" s="1" t="s">
        <v>1144</v>
      </c>
      <c r="B1132">
        <f>HYPERLINK("https://www.suredividend.com/sure-analysis-research-database/","Neximmune Inc")</f>
        <v>0</v>
      </c>
      <c r="C1132" t="s">
        <v>1921</v>
      </c>
      <c r="D1132">
        <v>0.3221</v>
      </c>
      <c r="E1132">
        <v>0</v>
      </c>
      <c r="F1132" t="s">
        <v>1921</v>
      </c>
      <c r="G1132" t="s">
        <v>1921</v>
      </c>
      <c r="H1132">
        <v>0</v>
      </c>
      <c r="I1132">
        <v>7.780503</v>
      </c>
      <c r="J1132">
        <v>0</v>
      </c>
      <c r="K1132" t="s">
        <v>1921</v>
      </c>
      <c r="L1132">
        <v>1.368432223512447</v>
      </c>
      <c r="M1132">
        <v>4.91</v>
      </c>
      <c r="N1132">
        <v>0.1947</v>
      </c>
    </row>
    <row r="1133" spans="1:14">
      <c r="A1133" s="1" t="s">
        <v>1145</v>
      </c>
      <c r="B1133">
        <f>HYPERLINK("https://www.suredividend.com/sure-analysis-research-database/","Northfield Bancorp Inc")</f>
        <v>0</v>
      </c>
      <c r="C1133" t="s">
        <v>1923</v>
      </c>
      <c r="D1133">
        <v>15.73</v>
      </c>
      <c r="E1133">
        <v>0.032628490805231</v>
      </c>
      <c r="F1133">
        <v>0</v>
      </c>
      <c r="G1133">
        <v>0.05387395206178347</v>
      </c>
      <c r="H1133">
        <v>0.513246160366293</v>
      </c>
      <c r="I1133">
        <v>751.431145</v>
      </c>
      <c r="J1133">
        <v>11.91178518380546</v>
      </c>
      <c r="K1133">
        <v>0.3801823410120689</v>
      </c>
      <c r="L1133">
        <v>0.481088981554822</v>
      </c>
      <c r="M1133">
        <v>16.76</v>
      </c>
      <c r="N1133">
        <v>11.67</v>
      </c>
    </row>
    <row r="1134" spans="1:14">
      <c r="A1134" s="1" t="s">
        <v>1146</v>
      </c>
      <c r="B1134">
        <f>HYPERLINK("https://www.suredividend.com/sure-analysis-research-database/","Novagold Resources Inc.")</f>
        <v>0</v>
      </c>
      <c r="C1134" t="s">
        <v>1925</v>
      </c>
      <c r="D1134">
        <v>6.66</v>
      </c>
      <c r="E1134">
        <v>0</v>
      </c>
      <c r="F1134" t="s">
        <v>1921</v>
      </c>
      <c r="G1134" t="s">
        <v>1921</v>
      </c>
      <c r="H1134">
        <v>0</v>
      </c>
      <c r="I1134">
        <v>2224.178468</v>
      </c>
      <c r="J1134">
        <v>0</v>
      </c>
      <c r="K1134" t="s">
        <v>1921</v>
      </c>
      <c r="L1134">
        <v>0.8498571016284391</v>
      </c>
      <c r="M1134">
        <v>8.359999999999999</v>
      </c>
      <c r="N1134">
        <v>4.06</v>
      </c>
    </row>
    <row r="1135" spans="1:14">
      <c r="A1135" s="1" t="s">
        <v>1147</v>
      </c>
      <c r="B1135">
        <f>HYPERLINK("https://www.suredividend.com/sure-analysis-research-database/","Ngm Biopharmaceuticals Inc")</f>
        <v>0</v>
      </c>
      <c r="C1135" t="s">
        <v>1922</v>
      </c>
      <c r="D1135">
        <v>4.79</v>
      </c>
      <c r="E1135">
        <v>0</v>
      </c>
      <c r="F1135" t="s">
        <v>1921</v>
      </c>
      <c r="G1135" t="s">
        <v>1921</v>
      </c>
      <c r="H1135">
        <v>0</v>
      </c>
      <c r="I1135">
        <v>391.468081</v>
      </c>
      <c r="J1135">
        <v>0</v>
      </c>
      <c r="K1135" t="s">
        <v>1921</v>
      </c>
      <c r="L1135">
        <v>0.900128998753944</v>
      </c>
      <c r="M1135">
        <v>18.25</v>
      </c>
      <c r="N1135">
        <v>2.92</v>
      </c>
    </row>
    <row r="1136" spans="1:14">
      <c r="A1136" s="1" t="s">
        <v>1148</v>
      </c>
      <c r="B1136">
        <f>HYPERLINK("https://www.suredividend.com/sure-analysis-research-database/","NeoGames SA")</f>
        <v>0</v>
      </c>
      <c r="C1136" t="s">
        <v>1921</v>
      </c>
      <c r="D1136">
        <v>12.33</v>
      </c>
      <c r="E1136">
        <v>0</v>
      </c>
      <c r="F1136" t="s">
        <v>1921</v>
      </c>
      <c r="G1136" t="s">
        <v>1921</v>
      </c>
      <c r="H1136">
        <v>0</v>
      </c>
      <c r="I1136">
        <v>318.849657</v>
      </c>
      <c r="J1136">
        <v>0</v>
      </c>
      <c r="K1136" t="s">
        <v>1921</v>
      </c>
      <c r="L1136">
        <v>1.514956337296625</v>
      </c>
      <c r="M1136">
        <v>26.72</v>
      </c>
      <c r="N1136">
        <v>10.69</v>
      </c>
    </row>
    <row r="1137" spans="1:14">
      <c r="A1137" s="1" t="s">
        <v>1149</v>
      </c>
      <c r="B1137">
        <f>HYPERLINK("https://www.suredividend.com/sure-analysis-research-database/","Natural Grocers by Vitamin Cottage Inc")</f>
        <v>0</v>
      </c>
      <c r="C1137" t="s">
        <v>1928</v>
      </c>
      <c r="D1137">
        <v>9.51</v>
      </c>
      <c r="E1137">
        <v>0.04185762081205</v>
      </c>
      <c r="F1137" t="s">
        <v>1921</v>
      </c>
      <c r="G1137" t="s">
        <v>1921</v>
      </c>
      <c r="H1137">
        <v>0.398065973922598</v>
      </c>
      <c r="I1137">
        <v>215.99539</v>
      </c>
      <c r="J1137">
        <v>10.10977720524222</v>
      </c>
      <c r="K1137">
        <v>0.4251024924419031</v>
      </c>
      <c r="L1137">
        <v>0.6733211792118571</v>
      </c>
      <c r="M1137">
        <v>23.95</v>
      </c>
      <c r="N1137">
        <v>8.880000000000001</v>
      </c>
    </row>
    <row r="1138" spans="1:14">
      <c r="A1138" s="1" t="s">
        <v>1150</v>
      </c>
      <c r="B1138">
        <f>HYPERLINK("https://www.suredividend.com/sure-analysis-research-database/","Ingevity Corp")</f>
        <v>0</v>
      </c>
      <c r="C1138" t="s">
        <v>1925</v>
      </c>
      <c r="D1138">
        <v>75.95</v>
      </c>
      <c r="E1138">
        <v>0</v>
      </c>
      <c r="F1138" t="s">
        <v>1921</v>
      </c>
      <c r="G1138" t="s">
        <v>1921</v>
      </c>
      <c r="H1138">
        <v>0</v>
      </c>
      <c r="I1138">
        <v>2838.375223</v>
      </c>
      <c r="J1138">
        <v>12.59820338459831</v>
      </c>
      <c r="K1138">
        <v>0</v>
      </c>
      <c r="L1138">
        <v>1.015494816309326</v>
      </c>
      <c r="M1138">
        <v>79.79000000000001</v>
      </c>
      <c r="N1138">
        <v>56.31</v>
      </c>
    </row>
    <row r="1139" spans="1:14">
      <c r="A1139" s="1" t="s">
        <v>1151</v>
      </c>
      <c r="B1139">
        <f>HYPERLINK("https://www.suredividend.com/sure-analysis-research-database/","NantHealth Inc")</f>
        <v>0</v>
      </c>
      <c r="C1139" t="s">
        <v>1922</v>
      </c>
      <c r="D1139">
        <v>3.5</v>
      </c>
      <c r="E1139">
        <v>0</v>
      </c>
      <c r="F1139" t="s">
        <v>1921</v>
      </c>
      <c r="G1139" t="s">
        <v>1921</v>
      </c>
      <c r="H1139">
        <v>0</v>
      </c>
      <c r="I1139">
        <v>404.425854</v>
      </c>
      <c r="J1139">
        <v>0</v>
      </c>
      <c r="K1139" t="s">
        <v>1921</v>
      </c>
      <c r="L1139">
        <v>0.6642227345870211</v>
      </c>
      <c r="M1139">
        <v>15.75</v>
      </c>
      <c r="N1139">
        <v>1.57</v>
      </c>
    </row>
    <row r="1140" spans="1:14">
      <c r="A1140" s="1" t="s">
        <v>1152</v>
      </c>
      <c r="B1140">
        <f>HYPERLINK("https://www.suredividend.com/sure-analysis-NHC/","National Healthcare Corp.")</f>
        <v>0</v>
      </c>
      <c r="C1140" t="s">
        <v>1922</v>
      </c>
      <c r="D1140">
        <v>55.48</v>
      </c>
      <c r="E1140">
        <v>0.0410958904109589</v>
      </c>
      <c r="F1140">
        <v>0.03636363636363638</v>
      </c>
      <c r="G1140">
        <v>0.03496752704080697</v>
      </c>
      <c r="H1140">
        <v>2.230373557139307</v>
      </c>
      <c r="I1140">
        <v>851.290834</v>
      </c>
      <c r="J1140">
        <v>26.7029747314931</v>
      </c>
      <c r="K1140">
        <v>1.082705610261799</v>
      </c>
      <c r="L1140">
        <v>0.425736021999628</v>
      </c>
      <c r="M1140">
        <v>73.41</v>
      </c>
      <c r="N1140">
        <v>55.36</v>
      </c>
    </row>
    <row r="1141" spans="1:14">
      <c r="A1141" s="1" t="s">
        <v>1153</v>
      </c>
      <c r="B1141">
        <f>HYPERLINK("https://www.suredividend.com/sure-analysis-NHI/","National Health Investors, Inc.")</f>
        <v>0</v>
      </c>
      <c r="C1141" t="s">
        <v>1929</v>
      </c>
      <c r="D1141">
        <v>52.86</v>
      </c>
      <c r="E1141">
        <v>0.0681044267877412</v>
      </c>
      <c r="F1141">
        <v>0</v>
      </c>
      <c r="G1141">
        <v>-0.0208516376390232</v>
      </c>
      <c r="H1141">
        <v>3.513367912040121</v>
      </c>
      <c r="I1141">
        <v>2293.528902</v>
      </c>
      <c r="J1141">
        <v>32.29640079025557</v>
      </c>
      <c r="K1141">
        <v>2.252158917974437</v>
      </c>
      <c r="L1141">
        <v>0.432414866216361</v>
      </c>
      <c r="M1141">
        <v>64.98</v>
      </c>
      <c r="N1141">
        <v>47.88</v>
      </c>
    </row>
    <row r="1142" spans="1:14">
      <c r="A1142" s="1" t="s">
        <v>1154</v>
      </c>
      <c r="B1142">
        <f>HYPERLINK("https://www.suredividend.com/sure-analysis-NJR/","New Jersey Resources Corporation")</f>
        <v>0</v>
      </c>
      <c r="C1142" t="s">
        <v>1930</v>
      </c>
      <c r="D1142">
        <v>50.83</v>
      </c>
      <c r="E1142">
        <v>0.03069053708439898</v>
      </c>
      <c r="F1142">
        <v>0.07586206896551717</v>
      </c>
      <c r="G1142">
        <v>0.0743347416121678</v>
      </c>
      <c r="H1142">
        <v>1.487130311324188</v>
      </c>
      <c r="I1142">
        <v>4901.556266</v>
      </c>
      <c r="J1142">
        <v>22.35428161205289</v>
      </c>
      <c r="K1142">
        <v>0.6551234851648405</v>
      </c>
      <c r="L1142">
        <v>0.507154701064725</v>
      </c>
      <c r="M1142">
        <v>51.42</v>
      </c>
      <c r="N1142">
        <v>36.56</v>
      </c>
    </row>
    <row r="1143" spans="1:14">
      <c r="A1143" s="1" t="s">
        <v>1155</v>
      </c>
      <c r="B1143">
        <f>HYPERLINK("https://www.suredividend.com/sure-analysis-research-database/","Nikola Corporation")</f>
        <v>0</v>
      </c>
      <c r="C1143" t="s">
        <v>1921</v>
      </c>
      <c r="D1143">
        <v>2.28</v>
      </c>
      <c r="E1143">
        <v>0</v>
      </c>
      <c r="F1143" t="s">
        <v>1921</v>
      </c>
      <c r="G1143" t="s">
        <v>1921</v>
      </c>
      <c r="H1143">
        <v>0</v>
      </c>
      <c r="I1143">
        <v>1091.780373</v>
      </c>
      <c r="J1143" t="s">
        <v>1921</v>
      </c>
      <c r="K1143">
        <v>-0</v>
      </c>
      <c r="L1143">
        <v>1.888506494810005</v>
      </c>
      <c r="M1143">
        <v>11.87</v>
      </c>
      <c r="N1143">
        <v>2.01</v>
      </c>
    </row>
    <row r="1144" spans="1:14">
      <c r="A1144" s="1" t="s">
        <v>1156</v>
      </c>
      <c r="B1144">
        <f>HYPERLINK("https://www.suredividend.com/sure-analysis-research-database/","Nkarta Inc")</f>
        <v>0</v>
      </c>
      <c r="C1144" t="s">
        <v>1921</v>
      </c>
      <c r="D1144">
        <v>5.34</v>
      </c>
      <c r="E1144">
        <v>0</v>
      </c>
      <c r="F1144" t="s">
        <v>1921</v>
      </c>
      <c r="G1144" t="s">
        <v>1921</v>
      </c>
      <c r="H1144">
        <v>0</v>
      </c>
      <c r="I1144">
        <v>260.665265</v>
      </c>
      <c r="J1144">
        <v>0</v>
      </c>
      <c r="K1144" t="s">
        <v>1921</v>
      </c>
      <c r="L1144">
        <v>1.612472816291492</v>
      </c>
      <c r="M1144">
        <v>20.35</v>
      </c>
      <c r="N1144">
        <v>5.07</v>
      </c>
    </row>
    <row r="1145" spans="1:14">
      <c r="A1145" s="1" t="s">
        <v>1157</v>
      </c>
      <c r="B1145">
        <f>HYPERLINK("https://www.suredividend.com/sure-analysis-research-database/","NL Industries, Inc.")</f>
        <v>0</v>
      </c>
      <c r="C1145" t="s">
        <v>1924</v>
      </c>
      <c r="D1145">
        <v>7.19</v>
      </c>
      <c r="E1145">
        <v>0.037787167619138</v>
      </c>
      <c r="F1145" t="s">
        <v>1921</v>
      </c>
      <c r="G1145" t="s">
        <v>1921</v>
      </c>
      <c r="H1145">
        <v>0.271689735181604</v>
      </c>
      <c r="I1145">
        <v>350.985127</v>
      </c>
      <c r="J1145">
        <v>6.401800741618941</v>
      </c>
      <c r="K1145">
        <v>0.2425801206978607</v>
      </c>
      <c r="L1145">
        <v>0.8884251515446291</v>
      </c>
      <c r="M1145">
        <v>10.52</v>
      </c>
      <c r="N1145">
        <v>5.16</v>
      </c>
    </row>
    <row r="1146" spans="1:14">
      <c r="A1146" s="1" t="s">
        <v>1158</v>
      </c>
      <c r="B1146">
        <f>HYPERLINK("https://www.suredividend.com/sure-analysis-research-database/","Nautilus Inc")</f>
        <v>0</v>
      </c>
      <c r="C1146" t="s">
        <v>1927</v>
      </c>
      <c r="D1146">
        <v>1.61</v>
      </c>
      <c r="E1146">
        <v>0</v>
      </c>
      <c r="F1146" t="s">
        <v>1921</v>
      </c>
      <c r="G1146" t="s">
        <v>1921</v>
      </c>
      <c r="H1146">
        <v>0</v>
      </c>
      <c r="I1146">
        <v>51.068379</v>
      </c>
      <c r="J1146" t="s">
        <v>1921</v>
      </c>
      <c r="K1146">
        <v>-0</v>
      </c>
      <c r="L1146">
        <v>1.159489955901338</v>
      </c>
      <c r="M1146">
        <v>6.05</v>
      </c>
      <c r="N1146">
        <v>1.23</v>
      </c>
    </row>
    <row r="1147" spans="1:14">
      <c r="A1147" s="1" t="s">
        <v>1159</v>
      </c>
      <c r="B1147">
        <f>HYPERLINK("https://www.suredividend.com/sure-analysis-research-database/","Neoleukin Therapeutics Inc")</f>
        <v>0</v>
      </c>
      <c r="C1147" t="s">
        <v>1922</v>
      </c>
      <c r="D1147">
        <v>0.5521</v>
      </c>
      <c r="E1147">
        <v>0</v>
      </c>
      <c r="F1147" t="s">
        <v>1921</v>
      </c>
      <c r="G1147" t="s">
        <v>1921</v>
      </c>
      <c r="H1147">
        <v>0</v>
      </c>
      <c r="I1147">
        <v>23.508336</v>
      </c>
      <c r="J1147">
        <v>0</v>
      </c>
      <c r="K1147" t="s">
        <v>1921</v>
      </c>
      <c r="L1147">
        <v>1.250823044602482</v>
      </c>
      <c r="M1147">
        <v>4.25</v>
      </c>
      <c r="N1147">
        <v>0.375</v>
      </c>
    </row>
    <row r="1148" spans="1:14">
      <c r="A1148" s="1" t="s">
        <v>1160</v>
      </c>
      <c r="B1148">
        <f>HYPERLINK("https://www.suredividend.com/sure-analysis-research-database/","NMI Holdings Inc")</f>
        <v>0</v>
      </c>
      <c r="C1148" t="s">
        <v>1923</v>
      </c>
      <c r="D1148">
        <v>20.06</v>
      </c>
      <c r="E1148">
        <v>0</v>
      </c>
      <c r="F1148" t="s">
        <v>1921</v>
      </c>
      <c r="G1148" t="s">
        <v>1921</v>
      </c>
      <c r="H1148">
        <v>0</v>
      </c>
      <c r="I1148">
        <v>1676.635482</v>
      </c>
      <c r="J1148">
        <v>0</v>
      </c>
      <c r="K1148" t="s">
        <v>1921</v>
      </c>
      <c r="L1148">
        <v>0.9744330286307241</v>
      </c>
      <c r="M1148">
        <v>27.25</v>
      </c>
      <c r="N1148">
        <v>15.33</v>
      </c>
    </row>
    <row r="1149" spans="1:14">
      <c r="A1149" s="1" t="s">
        <v>1161</v>
      </c>
      <c r="B1149">
        <f>HYPERLINK("https://www.suredividend.com/sure-analysis-research-database/","Newmark Group Inc")</f>
        <v>0</v>
      </c>
      <c r="C1149" t="s">
        <v>1929</v>
      </c>
      <c r="D1149">
        <v>8.35</v>
      </c>
      <c r="E1149">
        <v>0.01188150865125</v>
      </c>
      <c r="F1149">
        <v>2</v>
      </c>
      <c r="G1149">
        <v>-0.1972584382397693</v>
      </c>
      <c r="H1149">
        <v>0.09921059723794401</v>
      </c>
      <c r="I1149">
        <v>1257.128731</v>
      </c>
      <c r="J1149">
        <v>5.714870920104557</v>
      </c>
      <c r="K1149">
        <v>0.08779698870614515</v>
      </c>
      <c r="L1149">
        <v>1.239076863954245</v>
      </c>
      <c r="M1149">
        <v>18.18</v>
      </c>
      <c r="N1149">
        <v>7.36</v>
      </c>
    </row>
    <row r="1150" spans="1:14">
      <c r="A1150" s="1" t="s">
        <v>1162</v>
      </c>
      <c r="B1150">
        <f>HYPERLINK("https://www.suredividend.com/sure-analysis-research-database/","9 Meters Biopharma Inc")</f>
        <v>0</v>
      </c>
      <c r="C1150" t="s">
        <v>1921</v>
      </c>
      <c r="D1150">
        <v>2.21</v>
      </c>
      <c r="E1150">
        <v>0</v>
      </c>
      <c r="F1150" t="s">
        <v>1921</v>
      </c>
      <c r="G1150" t="s">
        <v>1921</v>
      </c>
      <c r="H1150">
        <v>0</v>
      </c>
      <c r="I1150">
        <v>28.631613</v>
      </c>
      <c r="J1150">
        <v>0</v>
      </c>
      <c r="K1150" t="s">
        <v>1921</v>
      </c>
      <c r="L1150">
        <v>0.8682145091749991</v>
      </c>
      <c r="M1150">
        <v>18.2</v>
      </c>
      <c r="N1150">
        <v>1</v>
      </c>
    </row>
    <row r="1151" spans="1:14">
      <c r="A1151" s="1" t="s">
        <v>1163</v>
      </c>
      <c r="B1151">
        <f>HYPERLINK("https://www.suredividend.com/sure-analysis-research-database/","NN Inc")</f>
        <v>0</v>
      </c>
      <c r="C1151" t="s">
        <v>1924</v>
      </c>
      <c r="D1151">
        <v>1.7</v>
      </c>
      <c r="E1151">
        <v>0</v>
      </c>
      <c r="F1151" t="s">
        <v>1921</v>
      </c>
      <c r="G1151" t="s">
        <v>1921</v>
      </c>
      <c r="H1151">
        <v>0</v>
      </c>
      <c r="I1151">
        <v>74.57753</v>
      </c>
      <c r="J1151" t="s">
        <v>1921</v>
      </c>
      <c r="K1151">
        <v>-0</v>
      </c>
      <c r="L1151">
        <v>0.9495017087323061</v>
      </c>
      <c r="M1151">
        <v>4.28</v>
      </c>
      <c r="N1151">
        <v>1.25</v>
      </c>
    </row>
    <row r="1152" spans="1:14">
      <c r="A1152" s="1" t="s">
        <v>1164</v>
      </c>
      <c r="B1152">
        <f>HYPERLINK("https://www.suredividend.com/sure-analysis-research-database/","Nelnet Inc")</f>
        <v>0</v>
      </c>
      <c r="C1152" t="s">
        <v>1923</v>
      </c>
      <c r="D1152">
        <v>91.05</v>
      </c>
      <c r="E1152">
        <v>0.010727344521295</v>
      </c>
      <c r="F1152">
        <v>0.08333333333333348</v>
      </c>
      <c r="G1152">
        <v>0.1019722877214801</v>
      </c>
      <c r="H1152">
        <v>0.9767247186639361</v>
      </c>
      <c r="I1152">
        <v>2407.095224</v>
      </c>
      <c r="J1152">
        <v>4.761075884433263</v>
      </c>
      <c r="K1152">
        <v>0.07245732334302196</v>
      </c>
      <c r="L1152">
        <v>0.562360496011403</v>
      </c>
      <c r="M1152">
        <v>99.48999999999999</v>
      </c>
      <c r="N1152">
        <v>72.54000000000001</v>
      </c>
    </row>
    <row r="1153" spans="1:14">
      <c r="A1153" s="1" t="s">
        <v>1165</v>
      </c>
      <c r="B1153">
        <f>HYPERLINK("https://www.suredividend.com/sure-analysis-research-database/","NI Holdings Inc")</f>
        <v>0</v>
      </c>
      <c r="C1153" t="s">
        <v>1923</v>
      </c>
      <c r="D1153">
        <v>13.11</v>
      </c>
      <c r="E1153">
        <v>0</v>
      </c>
      <c r="F1153" t="s">
        <v>1921</v>
      </c>
      <c r="G1153" t="s">
        <v>1921</v>
      </c>
      <c r="H1153">
        <v>0</v>
      </c>
      <c r="I1153">
        <v>276.914231</v>
      </c>
      <c r="J1153">
        <v>0</v>
      </c>
      <c r="K1153" t="s">
        <v>1921</v>
      </c>
      <c r="L1153">
        <v>0.486498643574898</v>
      </c>
      <c r="M1153">
        <v>19.55</v>
      </c>
      <c r="N1153">
        <v>12.55</v>
      </c>
    </row>
    <row r="1154" spans="1:14">
      <c r="A1154" s="1" t="s">
        <v>1166</v>
      </c>
      <c r="B1154">
        <f>HYPERLINK("https://www.suredividend.com/sure-analysis-research-database/","Northern Oil and Gas Inc.")</f>
        <v>0</v>
      </c>
      <c r="C1154" t="s">
        <v>1926</v>
      </c>
      <c r="D1154">
        <v>30.74</v>
      </c>
      <c r="E1154">
        <v>0.004436295307492</v>
      </c>
      <c r="F1154" t="s">
        <v>1921</v>
      </c>
      <c r="G1154" t="s">
        <v>1921</v>
      </c>
      <c r="H1154">
        <v>0.136371717752316</v>
      </c>
      <c r="I1154">
        <v>2393.792258</v>
      </c>
      <c r="J1154">
        <v>3.126957467571656</v>
      </c>
      <c r="K1154">
        <v>0.0142499182604301</v>
      </c>
      <c r="L1154">
        <v>1.052868375630596</v>
      </c>
      <c r="M1154">
        <v>38.65</v>
      </c>
      <c r="N1154">
        <v>19.41</v>
      </c>
    </row>
    <row r="1155" spans="1:14">
      <c r="A1155" s="1" t="s">
        <v>1167</v>
      </c>
      <c r="B1155">
        <f>HYPERLINK("https://www.suredividend.com/sure-analysis-research-database/","Inotiv Inc")</f>
        <v>0</v>
      </c>
      <c r="C1155" t="s">
        <v>1921</v>
      </c>
      <c r="D1155">
        <v>4.85</v>
      </c>
      <c r="E1155">
        <v>0</v>
      </c>
      <c r="F1155" t="s">
        <v>1921</v>
      </c>
      <c r="G1155" t="s">
        <v>1921</v>
      </c>
      <c r="H1155">
        <v>0</v>
      </c>
      <c r="I1155">
        <v>124.133194</v>
      </c>
      <c r="J1155">
        <v>0</v>
      </c>
      <c r="K1155" t="s">
        <v>1921</v>
      </c>
      <c r="L1155">
        <v>2.023989617518588</v>
      </c>
      <c r="M1155">
        <v>42.63</v>
      </c>
      <c r="N1155">
        <v>3.65</v>
      </c>
    </row>
    <row r="1156" spans="1:14">
      <c r="A1156" s="1" t="s">
        <v>1168</v>
      </c>
      <c r="B1156">
        <f>HYPERLINK("https://www.suredividend.com/sure-analysis-research-database/","Sunnova Energy International Inc")</f>
        <v>0</v>
      </c>
      <c r="C1156" t="s">
        <v>1920</v>
      </c>
      <c r="D1156">
        <v>17.42</v>
      </c>
      <c r="E1156">
        <v>0</v>
      </c>
      <c r="F1156" t="s">
        <v>1921</v>
      </c>
      <c r="G1156" t="s">
        <v>1921</v>
      </c>
      <c r="H1156">
        <v>0</v>
      </c>
      <c r="I1156">
        <v>2001.730441</v>
      </c>
      <c r="J1156">
        <v>0</v>
      </c>
      <c r="K1156" t="s">
        <v>1921</v>
      </c>
      <c r="L1156">
        <v>1.766341960686305</v>
      </c>
      <c r="M1156">
        <v>31.47</v>
      </c>
      <c r="N1156">
        <v>12.47</v>
      </c>
    </row>
    <row r="1157" spans="1:14">
      <c r="A1157" s="1" t="s">
        <v>1169</v>
      </c>
      <c r="B1157">
        <f>HYPERLINK("https://www.suredividend.com/sure-analysis-research-database/","Novanta Inc")</f>
        <v>0</v>
      </c>
      <c r="C1157" t="s">
        <v>1920</v>
      </c>
      <c r="D1157">
        <v>138.79</v>
      </c>
      <c r="E1157">
        <v>0</v>
      </c>
      <c r="F1157" t="s">
        <v>1921</v>
      </c>
      <c r="G1157" t="s">
        <v>1921</v>
      </c>
      <c r="H1157">
        <v>0</v>
      </c>
      <c r="I1157">
        <v>4953.444246</v>
      </c>
      <c r="J1157">
        <v>68.2828701032491</v>
      </c>
      <c r="K1157">
        <v>0</v>
      </c>
      <c r="L1157">
        <v>1.355854756603197</v>
      </c>
      <c r="M1157">
        <v>166.53</v>
      </c>
      <c r="N1157">
        <v>110.84</v>
      </c>
    </row>
    <row r="1158" spans="1:14">
      <c r="A1158" s="1" t="s">
        <v>1170</v>
      </c>
      <c r="B1158">
        <f>HYPERLINK("https://www.suredividend.com/sure-analysis-research-database/","Neenah Inc")</f>
        <v>0</v>
      </c>
      <c r="C1158" t="s">
        <v>1925</v>
      </c>
      <c r="D1158">
        <v>32</v>
      </c>
      <c r="E1158">
        <v>0.058252615601215</v>
      </c>
      <c r="F1158" t="s">
        <v>1921</v>
      </c>
      <c r="G1158" t="s">
        <v>1921</v>
      </c>
      <c r="H1158">
        <v>1.864083699238888</v>
      </c>
      <c r="I1158">
        <v>537.253888</v>
      </c>
      <c r="J1158" t="s">
        <v>1921</v>
      </c>
      <c r="K1158" t="s">
        <v>1921</v>
      </c>
      <c r="L1158">
        <v>0.7464642607469351</v>
      </c>
      <c r="M1158">
        <v>55.11</v>
      </c>
      <c r="N1158">
        <v>31.05</v>
      </c>
    </row>
    <row r="1159" spans="1:14">
      <c r="A1159" s="1" t="s">
        <v>1171</v>
      </c>
      <c r="B1159">
        <f>HYPERLINK("https://www.suredividend.com/sure-analysis-research-database/","NeuroPace Inc")</f>
        <v>0</v>
      </c>
      <c r="C1159" t="s">
        <v>1921</v>
      </c>
      <c r="D1159">
        <v>1.63</v>
      </c>
      <c r="E1159">
        <v>0</v>
      </c>
      <c r="F1159" t="s">
        <v>1921</v>
      </c>
      <c r="G1159" t="s">
        <v>1921</v>
      </c>
      <c r="H1159">
        <v>0</v>
      </c>
      <c r="I1159">
        <v>40.592128</v>
      </c>
      <c r="J1159">
        <v>0</v>
      </c>
      <c r="K1159" t="s">
        <v>1921</v>
      </c>
      <c r="L1159">
        <v>0.663128561390795</v>
      </c>
      <c r="M1159">
        <v>12.06</v>
      </c>
      <c r="N1159">
        <v>1.22</v>
      </c>
    </row>
    <row r="1160" spans="1:14">
      <c r="A1160" s="1" t="s">
        <v>1172</v>
      </c>
      <c r="B1160">
        <f>HYPERLINK("https://www.suredividend.com/sure-analysis-research-database/","National Presto Industries, Inc.")</f>
        <v>0</v>
      </c>
      <c r="C1160" t="s">
        <v>1924</v>
      </c>
      <c r="D1160">
        <v>69.51000000000001</v>
      </c>
      <c r="E1160">
        <v>0.014386419220256</v>
      </c>
      <c r="F1160" t="s">
        <v>1921</v>
      </c>
      <c r="G1160" t="s">
        <v>1921</v>
      </c>
      <c r="H1160">
        <v>1</v>
      </c>
      <c r="I1160">
        <v>490.529429</v>
      </c>
      <c r="J1160">
        <v>28.90908938118812</v>
      </c>
      <c r="K1160">
        <v>0.4166666666666667</v>
      </c>
      <c r="L1160">
        <v>0.571520013896697</v>
      </c>
      <c r="M1160">
        <v>87.98999999999999</v>
      </c>
      <c r="N1160">
        <v>59.99</v>
      </c>
    </row>
    <row r="1161" spans="1:14">
      <c r="A1161" s="1" t="s">
        <v>1173</v>
      </c>
      <c r="B1161">
        <f>HYPERLINK("https://www.suredividend.com/sure-analysis-research-database/","EnPro Industries Inc")</f>
        <v>0</v>
      </c>
      <c r="C1161" t="s">
        <v>1924</v>
      </c>
      <c r="D1161">
        <v>113.14</v>
      </c>
      <c r="E1161">
        <v>0.009866858778021001</v>
      </c>
      <c r="F1161">
        <v>0.03703703703703698</v>
      </c>
      <c r="G1161">
        <v>0.03131030647754507</v>
      </c>
      <c r="H1161">
        <v>1.116336402145314</v>
      </c>
      <c r="I1161">
        <v>2353.631847</v>
      </c>
      <c r="J1161">
        <v>13.17822982519597</v>
      </c>
      <c r="K1161">
        <v>0.1305656610696274</v>
      </c>
      <c r="L1161">
        <v>0.9223009281890371</v>
      </c>
      <c r="M1161">
        <v>127.36</v>
      </c>
      <c r="N1161">
        <v>75.73</v>
      </c>
    </row>
    <row r="1162" spans="1:14">
      <c r="A1162" s="1" t="s">
        <v>1174</v>
      </c>
      <c r="B1162">
        <f>HYPERLINK("https://www.suredividend.com/sure-analysis-research-database/","NeoPhotonics Corporation")</f>
        <v>0</v>
      </c>
      <c r="C1162" t="s">
        <v>1920</v>
      </c>
      <c r="D1162">
        <v>16.01</v>
      </c>
      <c r="E1162">
        <v>0</v>
      </c>
      <c r="F1162" t="s">
        <v>1921</v>
      </c>
      <c r="G1162" t="s">
        <v>1921</v>
      </c>
      <c r="H1162">
        <v>0</v>
      </c>
      <c r="I1162">
        <v>859.559257</v>
      </c>
      <c r="J1162">
        <v>0</v>
      </c>
      <c r="K1162" t="s">
        <v>1921</v>
      </c>
      <c r="L1162">
        <v>0.274869353252886</v>
      </c>
      <c r="M1162">
        <v>16.14</v>
      </c>
      <c r="N1162">
        <v>7.95</v>
      </c>
    </row>
    <row r="1163" spans="1:14">
      <c r="A1163" s="1" t="s">
        <v>1175</v>
      </c>
      <c r="B1163">
        <f>HYPERLINK("https://www.suredividend.com/sure-analysis-research-database/","Newpark Resources, Inc.")</f>
        <v>0</v>
      </c>
      <c r="C1163" t="s">
        <v>1926</v>
      </c>
      <c r="D1163">
        <v>4.54</v>
      </c>
      <c r="E1163">
        <v>0</v>
      </c>
      <c r="F1163" t="s">
        <v>1921</v>
      </c>
      <c r="G1163" t="s">
        <v>1921</v>
      </c>
      <c r="H1163">
        <v>0</v>
      </c>
      <c r="I1163">
        <v>426.972822</v>
      </c>
      <c r="J1163" t="s">
        <v>1921</v>
      </c>
      <c r="K1163">
        <v>-0</v>
      </c>
      <c r="L1163">
        <v>0.8505952835014651</v>
      </c>
      <c r="M1163">
        <v>4.81</v>
      </c>
      <c r="N1163">
        <v>2.38</v>
      </c>
    </row>
    <row r="1164" spans="1:14">
      <c r="A1164" s="1" t="s">
        <v>1176</v>
      </c>
      <c r="B1164">
        <f>HYPERLINK("https://www.suredividend.com/sure-analysis-research-database/","National Research Corp")</f>
        <v>0</v>
      </c>
      <c r="C1164" t="s">
        <v>1922</v>
      </c>
      <c r="D1164">
        <v>40.47</v>
      </c>
      <c r="E1164">
        <v>0.020592972024334</v>
      </c>
      <c r="F1164" t="s">
        <v>1921</v>
      </c>
      <c r="G1164" t="s">
        <v>1921</v>
      </c>
      <c r="H1164">
        <v>0.833397577824827</v>
      </c>
      <c r="I1164">
        <v>999.254726</v>
      </c>
      <c r="J1164">
        <v>28.73320659113782</v>
      </c>
      <c r="K1164">
        <v>0.6039112882788602</v>
      </c>
      <c r="L1164">
        <v>0.5834112239665641</v>
      </c>
      <c r="M1164">
        <v>41.72</v>
      </c>
      <c r="N1164">
        <v>30.46</v>
      </c>
    </row>
    <row r="1165" spans="1:14">
      <c r="A1165" s="1" t="s">
        <v>1177</v>
      </c>
      <c r="B1165">
        <f>HYPERLINK("https://www.suredividend.com/sure-analysis-research-database/","Northrim Bancorp, Inc.")</f>
        <v>0</v>
      </c>
      <c r="C1165" t="s">
        <v>1923</v>
      </c>
      <c r="D1165">
        <v>54.46</v>
      </c>
      <c r="E1165">
        <v>0.03294794351252001</v>
      </c>
      <c r="F1165">
        <v>0.3157894736842106</v>
      </c>
      <c r="G1165">
        <v>0.1581151756192944</v>
      </c>
      <c r="H1165">
        <v>1.794345003691858</v>
      </c>
      <c r="I1165">
        <v>309.982562</v>
      </c>
      <c r="J1165">
        <v>0</v>
      </c>
      <c r="K1165" t="s">
        <v>1921</v>
      </c>
      <c r="L1165">
        <v>0.439572267768742</v>
      </c>
      <c r="M1165">
        <v>56.26</v>
      </c>
      <c r="N1165">
        <v>37.25</v>
      </c>
    </row>
    <row r="1166" spans="1:14">
      <c r="A1166" s="1" t="s">
        <v>1178</v>
      </c>
      <c r="B1166">
        <f>HYPERLINK("https://www.suredividend.com/sure-analysis-research-database/","Nurix Therapeutics Inc")</f>
        <v>0</v>
      </c>
      <c r="C1166" t="s">
        <v>1921</v>
      </c>
      <c r="D1166">
        <v>10.26</v>
      </c>
      <c r="E1166">
        <v>0</v>
      </c>
      <c r="F1166" t="s">
        <v>1921</v>
      </c>
      <c r="G1166" t="s">
        <v>1921</v>
      </c>
      <c r="H1166">
        <v>0</v>
      </c>
      <c r="I1166">
        <v>483.736233</v>
      </c>
      <c r="J1166">
        <v>0</v>
      </c>
      <c r="K1166" t="s">
        <v>1921</v>
      </c>
      <c r="L1166">
        <v>1.631138862168146</v>
      </c>
      <c r="M1166">
        <v>24.92</v>
      </c>
      <c r="N1166">
        <v>7.52</v>
      </c>
    </row>
    <row r="1167" spans="1:14">
      <c r="A1167" s="1" t="s">
        <v>1179</v>
      </c>
      <c r="B1167">
        <f>HYPERLINK("https://www.suredividend.com/sure-analysis-NSA/","National Storage Affiliates Trust")</f>
        <v>0</v>
      </c>
      <c r="C1167" t="s">
        <v>1929</v>
      </c>
      <c r="D1167">
        <v>36.49</v>
      </c>
      <c r="E1167">
        <v>0.0602904905453549</v>
      </c>
      <c r="F1167">
        <v>0.2222222222222223</v>
      </c>
      <c r="G1167">
        <v>0.14456623939758</v>
      </c>
      <c r="H1167">
        <v>2.110334245801716</v>
      </c>
      <c r="I1167">
        <v>3315.67622</v>
      </c>
      <c r="J1167">
        <v>39.20443895417032</v>
      </c>
      <c r="K1167">
        <v>2.61828070198724</v>
      </c>
      <c r="L1167">
        <v>0.9842348189867971</v>
      </c>
      <c r="M1167">
        <v>64.98</v>
      </c>
      <c r="N1167">
        <v>34.9</v>
      </c>
    </row>
    <row r="1168" spans="1:14">
      <c r="A1168" s="1" t="s">
        <v>1180</v>
      </c>
      <c r="B1168">
        <f>HYPERLINK("https://www.suredividend.com/sure-analysis-research-database/","Insight Enterprises Inc.")</f>
        <v>0</v>
      </c>
      <c r="C1168" t="s">
        <v>1920</v>
      </c>
      <c r="D1168">
        <v>106.35</v>
      </c>
      <c r="E1168">
        <v>0</v>
      </c>
      <c r="F1168" t="s">
        <v>1921</v>
      </c>
      <c r="G1168" t="s">
        <v>1921</v>
      </c>
      <c r="H1168">
        <v>0</v>
      </c>
      <c r="I1168">
        <v>3704.293334</v>
      </c>
      <c r="J1168">
        <v>13.96455355513752</v>
      </c>
      <c r="K1168">
        <v>0</v>
      </c>
      <c r="L1168">
        <v>0.6840058746834851</v>
      </c>
      <c r="M1168">
        <v>110.74</v>
      </c>
      <c r="N1168">
        <v>81.11</v>
      </c>
    </row>
    <row r="1169" spans="1:14">
      <c r="A1169" s="1" t="s">
        <v>1181</v>
      </c>
      <c r="B1169">
        <f>HYPERLINK("https://www.suredividend.com/sure-analysis-NSP/","Insperity Inc")</f>
        <v>0</v>
      </c>
      <c r="C1169" t="s">
        <v>1924</v>
      </c>
      <c r="D1169">
        <v>110.04</v>
      </c>
      <c r="E1169">
        <v>0.01890221737549982</v>
      </c>
      <c r="F1169">
        <v>0.1555555555555557</v>
      </c>
      <c r="G1169">
        <v>0.2105832751075947</v>
      </c>
      <c r="H1169">
        <v>1.99659714660916</v>
      </c>
      <c r="I1169">
        <v>4174.294884</v>
      </c>
      <c r="J1169">
        <v>27.66724032238608</v>
      </c>
      <c r="K1169">
        <v>0.511947986310041</v>
      </c>
      <c r="L1169">
        <v>0.950199855635056</v>
      </c>
      <c r="M1169">
        <v>121.72</v>
      </c>
      <c r="N1169">
        <v>82.31</v>
      </c>
    </row>
    <row r="1170" spans="1:14">
      <c r="A1170" s="1" t="s">
        <v>1182</v>
      </c>
      <c r="B1170">
        <f>HYPERLINK("https://www.suredividend.com/sure-analysis-research-database/","NAPCO Security Technologies Inc")</f>
        <v>0</v>
      </c>
      <c r="C1170" t="s">
        <v>1924</v>
      </c>
      <c r="D1170">
        <v>27.41</v>
      </c>
      <c r="E1170">
        <v>0</v>
      </c>
      <c r="F1170" t="s">
        <v>1921</v>
      </c>
      <c r="G1170" t="s">
        <v>1921</v>
      </c>
      <c r="H1170">
        <v>0</v>
      </c>
      <c r="I1170">
        <v>1007.124588</v>
      </c>
      <c r="J1170">
        <v>55.18793295084662</v>
      </c>
      <c r="K1170">
        <v>0</v>
      </c>
      <c r="L1170">
        <v>0.946551229252355</v>
      </c>
      <c r="M1170">
        <v>31.3</v>
      </c>
      <c r="N1170">
        <v>15.39</v>
      </c>
    </row>
    <row r="1171" spans="1:14">
      <c r="A1171" s="1" t="s">
        <v>1183</v>
      </c>
      <c r="B1171">
        <f>HYPERLINK("https://www.suredividend.com/sure-analysis-research-database/","Nanostring Technologies Inc")</f>
        <v>0</v>
      </c>
      <c r="C1171" t="s">
        <v>1922</v>
      </c>
      <c r="D1171">
        <v>10</v>
      </c>
      <c r="E1171">
        <v>0</v>
      </c>
      <c r="F1171" t="s">
        <v>1921</v>
      </c>
      <c r="G1171" t="s">
        <v>1921</v>
      </c>
      <c r="H1171">
        <v>0</v>
      </c>
      <c r="I1171">
        <v>466.46806</v>
      </c>
      <c r="J1171">
        <v>0</v>
      </c>
      <c r="K1171" t="s">
        <v>1921</v>
      </c>
      <c r="L1171">
        <v>2.163347898388256</v>
      </c>
      <c r="M1171">
        <v>41</v>
      </c>
      <c r="N1171">
        <v>4.37</v>
      </c>
    </row>
    <row r="1172" spans="1:14">
      <c r="A1172" s="1" t="s">
        <v>1184</v>
      </c>
      <c r="B1172">
        <f>HYPERLINK("https://www.suredividend.com/sure-analysis-research-database/","Bank of N T Butterfield &amp; Son Ltd.")</f>
        <v>0</v>
      </c>
      <c r="C1172" t="s">
        <v>1923</v>
      </c>
      <c r="D1172">
        <v>30.27</v>
      </c>
      <c r="E1172">
        <v>0.056163547826141</v>
      </c>
      <c r="F1172">
        <v>0</v>
      </c>
      <c r="G1172">
        <v>0.02975477857041309</v>
      </c>
      <c r="H1172">
        <v>1.700070592697301</v>
      </c>
      <c r="I1172">
        <v>1510.816595</v>
      </c>
      <c r="J1172">
        <v>0</v>
      </c>
      <c r="K1172" t="s">
        <v>1921</v>
      </c>
      <c r="L1172">
        <v>0.794028167305567</v>
      </c>
      <c r="M1172">
        <v>38.97</v>
      </c>
      <c r="N1172">
        <v>27.51</v>
      </c>
    </row>
    <row r="1173" spans="1:14">
      <c r="A1173" s="1" t="s">
        <v>1185</v>
      </c>
      <c r="B1173">
        <f>HYPERLINK("https://www.suredividend.com/sure-analysis-research-database/","Netscout Systems Inc")</f>
        <v>0</v>
      </c>
      <c r="C1173" t="s">
        <v>1920</v>
      </c>
      <c r="D1173">
        <v>31.9</v>
      </c>
      <c r="E1173">
        <v>0</v>
      </c>
      <c r="F1173" t="s">
        <v>1921</v>
      </c>
      <c r="G1173" t="s">
        <v>1921</v>
      </c>
      <c r="H1173">
        <v>0</v>
      </c>
      <c r="I1173">
        <v>2304.648644</v>
      </c>
      <c r="J1173">
        <v>46.49281105709098</v>
      </c>
      <c r="K1173">
        <v>0</v>
      </c>
      <c r="L1173">
        <v>0.7070818755614501</v>
      </c>
      <c r="M1173">
        <v>38.02</v>
      </c>
      <c r="N1173">
        <v>28.69</v>
      </c>
    </row>
    <row r="1174" spans="1:14">
      <c r="A1174" s="1" t="s">
        <v>1186</v>
      </c>
      <c r="B1174">
        <f>HYPERLINK("https://www.suredividend.com/sure-analysis-research-database/","Netgear Inc")</f>
        <v>0</v>
      </c>
      <c r="C1174" t="s">
        <v>1920</v>
      </c>
      <c r="D1174">
        <v>19.36</v>
      </c>
      <c r="E1174">
        <v>0</v>
      </c>
      <c r="F1174" t="s">
        <v>1921</v>
      </c>
      <c r="G1174" t="s">
        <v>1921</v>
      </c>
      <c r="H1174">
        <v>0</v>
      </c>
      <c r="I1174">
        <v>559.486673</v>
      </c>
      <c r="J1174" t="s">
        <v>1921</v>
      </c>
      <c r="K1174">
        <v>-0</v>
      </c>
      <c r="L1174">
        <v>1.058832065944927</v>
      </c>
      <c r="M1174">
        <v>30.98</v>
      </c>
      <c r="N1174">
        <v>17.4</v>
      </c>
    </row>
    <row r="1175" spans="1:14">
      <c r="A1175" s="1" t="s">
        <v>1187</v>
      </c>
      <c r="B1175">
        <f>HYPERLINK("https://www.suredividend.com/sure-analysis-research-database/","Intellia Therapeutics Inc")</f>
        <v>0</v>
      </c>
      <c r="C1175" t="s">
        <v>1922</v>
      </c>
      <c r="D1175">
        <v>36.39</v>
      </c>
      <c r="E1175">
        <v>0</v>
      </c>
      <c r="F1175" t="s">
        <v>1921</v>
      </c>
      <c r="G1175" t="s">
        <v>1921</v>
      </c>
      <c r="H1175">
        <v>0</v>
      </c>
      <c r="I1175">
        <v>2863.312179</v>
      </c>
      <c r="J1175" t="s">
        <v>1921</v>
      </c>
      <c r="K1175">
        <v>-0</v>
      </c>
      <c r="L1175">
        <v>2.114112811549963</v>
      </c>
      <c r="M1175">
        <v>108</v>
      </c>
      <c r="N1175">
        <v>32.72</v>
      </c>
    </row>
    <row r="1176" spans="1:14">
      <c r="A1176" s="1" t="s">
        <v>1188</v>
      </c>
      <c r="B1176">
        <f>HYPERLINK("https://www.suredividend.com/sure-analysis-NTST/","Netstreit Corp")</f>
        <v>0</v>
      </c>
      <c r="C1176" t="s">
        <v>1921</v>
      </c>
      <c r="D1176">
        <v>18.99</v>
      </c>
      <c r="E1176">
        <v>0.04212743549236441</v>
      </c>
      <c r="F1176" t="s">
        <v>1921</v>
      </c>
      <c r="G1176" t="s">
        <v>1921</v>
      </c>
      <c r="H1176">
        <v>0.7899225023717931</v>
      </c>
      <c r="I1176">
        <v>1042.100842</v>
      </c>
      <c r="J1176">
        <v>0</v>
      </c>
      <c r="K1176" t="s">
        <v>1921</v>
      </c>
      <c r="L1176">
        <v>0.6224709111960001</v>
      </c>
      <c r="M1176">
        <v>23.24</v>
      </c>
      <c r="N1176">
        <v>16.89</v>
      </c>
    </row>
    <row r="1177" spans="1:14">
      <c r="A1177" s="1" t="s">
        <v>1189</v>
      </c>
      <c r="B1177">
        <f>HYPERLINK("https://www.suredividend.com/sure-analysis-research-database/","Natus Medical Inc")</f>
        <v>0</v>
      </c>
      <c r="C1177" t="s">
        <v>1922</v>
      </c>
      <c r="D1177">
        <v>32.96</v>
      </c>
      <c r="E1177">
        <v>0</v>
      </c>
      <c r="F1177" t="s">
        <v>1921</v>
      </c>
      <c r="G1177" t="s">
        <v>1921</v>
      </c>
      <c r="H1177">
        <v>0</v>
      </c>
      <c r="I1177">
        <v>0</v>
      </c>
      <c r="J1177">
        <v>0</v>
      </c>
      <c r="K1177">
        <v>0</v>
      </c>
    </row>
    <row r="1178" spans="1:14">
      <c r="A1178" s="1" t="s">
        <v>1190</v>
      </c>
      <c r="B1178">
        <f>HYPERLINK("https://www.suredividend.com/sure-analysis-NUS/","Nu Skin Enterprises, Inc.")</f>
        <v>0</v>
      </c>
      <c r="C1178" t="s">
        <v>1928</v>
      </c>
      <c r="D1178">
        <v>43.6</v>
      </c>
      <c r="E1178">
        <v>0.03532110091743119</v>
      </c>
      <c r="F1178">
        <v>0.01315789473684204</v>
      </c>
      <c r="G1178">
        <v>0.01072631497080168</v>
      </c>
      <c r="H1178">
        <v>1.518621344558621</v>
      </c>
      <c r="I1178">
        <v>2154.720807</v>
      </c>
      <c r="J1178">
        <v>56.21206321611186</v>
      </c>
      <c r="K1178">
        <v>2.010087815431663</v>
      </c>
      <c r="L1178">
        <v>0.9511207738223171</v>
      </c>
      <c r="M1178">
        <v>54.78</v>
      </c>
      <c r="N1178">
        <v>29.66</v>
      </c>
    </row>
    <row r="1179" spans="1:14">
      <c r="A1179" s="1" t="s">
        <v>1191</v>
      </c>
      <c r="B1179">
        <f>HYPERLINK("https://www.suredividend.com/sure-analysis-research-database/","Nuvasive Inc")</f>
        <v>0</v>
      </c>
      <c r="C1179" t="s">
        <v>1922</v>
      </c>
      <c r="D1179">
        <v>42.12</v>
      </c>
      <c r="E1179">
        <v>0</v>
      </c>
      <c r="F1179" t="s">
        <v>1921</v>
      </c>
      <c r="G1179" t="s">
        <v>1921</v>
      </c>
      <c r="H1179">
        <v>0</v>
      </c>
      <c r="I1179">
        <v>2195.882437</v>
      </c>
      <c r="J1179" t="s">
        <v>1921</v>
      </c>
      <c r="K1179">
        <v>-0</v>
      </c>
      <c r="L1179">
        <v>1.015333580089124</v>
      </c>
      <c r="M1179">
        <v>60.47</v>
      </c>
      <c r="N1179">
        <v>35.17</v>
      </c>
    </row>
    <row r="1180" spans="1:14">
      <c r="A1180" s="1" t="s">
        <v>1192</v>
      </c>
      <c r="B1180">
        <f>HYPERLINK("https://www.suredividend.com/sure-analysis-research-database/","Nuvation Bio Inc")</f>
        <v>0</v>
      </c>
      <c r="C1180" t="s">
        <v>1921</v>
      </c>
      <c r="D1180">
        <v>2.04</v>
      </c>
      <c r="E1180">
        <v>0</v>
      </c>
      <c r="F1180" t="s">
        <v>1921</v>
      </c>
      <c r="G1180" t="s">
        <v>1921</v>
      </c>
      <c r="H1180">
        <v>0</v>
      </c>
      <c r="I1180">
        <v>445.520918</v>
      </c>
      <c r="J1180">
        <v>0</v>
      </c>
      <c r="K1180" t="s">
        <v>1921</v>
      </c>
      <c r="L1180">
        <v>1.124747538306755</v>
      </c>
      <c r="M1180">
        <v>6.73</v>
      </c>
      <c r="N1180">
        <v>1.59</v>
      </c>
    </row>
    <row r="1181" spans="1:14">
      <c r="A1181" s="1" t="s">
        <v>1193</v>
      </c>
      <c r="B1181">
        <f>HYPERLINK("https://www.suredividend.com/sure-analysis-research-database/","Nuvalent Inc")</f>
        <v>0</v>
      </c>
      <c r="C1181" t="s">
        <v>1921</v>
      </c>
      <c r="D1181">
        <v>26.57</v>
      </c>
      <c r="E1181">
        <v>0</v>
      </c>
      <c r="F1181" t="s">
        <v>1921</v>
      </c>
      <c r="G1181" t="s">
        <v>1921</v>
      </c>
      <c r="H1181">
        <v>0</v>
      </c>
      <c r="I1181">
        <v>1355.235133</v>
      </c>
      <c r="J1181">
        <v>0</v>
      </c>
      <c r="K1181" t="s">
        <v>1921</v>
      </c>
      <c r="L1181">
        <v>1.804271639520219</v>
      </c>
      <c r="M1181">
        <v>40.43</v>
      </c>
      <c r="N1181">
        <v>7.09</v>
      </c>
    </row>
    <row r="1182" spans="1:14">
      <c r="A1182" s="1" t="s">
        <v>1194</v>
      </c>
      <c r="B1182">
        <f>HYPERLINK("https://www.suredividend.com/sure-analysis-research-database/","NVE Corp")</f>
        <v>0</v>
      </c>
      <c r="C1182" t="s">
        <v>1920</v>
      </c>
      <c r="D1182">
        <v>70.68000000000001</v>
      </c>
      <c r="E1182">
        <v>0.055146264642408</v>
      </c>
      <c r="F1182">
        <v>0</v>
      </c>
      <c r="G1182">
        <v>0</v>
      </c>
      <c r="H1182">
        <v>3.897737984925437</v>
      </c>
      <c r="I1182">
        <v>341.442782</v>
      </c>
      <c r="J1182">
        <v>19.4977386930283</v>
      </c>
      <c r="K1182">
        <v>1.076723200255645</v>
      </c>
      <c r="L1182">
        <v>0.7686148801903351</v>
      </c>
      <c r="M1182">
        <v>71.42</v>
      </c>
      <c r="N1182">
        <v>41.91</v>
      </c>
    </row>
    <row r="1183" spans="1:14">
      <c r="A1183" s="1" t="s">
        <v>1195</v>
      </c>
      <c r="B1183">
        <f>HYPERLINK("https://www.suredividend.com/sure-analysis-research-database/","NV5 Global Inc")</f>
        <v>0</v>
      </c>
      <c r="C1183" t="s">
        <v>1924</v>
      </c>
      <c r="D1183">
        <v>131.21</v>
      </c>
      <c r="E1183">
        <v>0</v>
      </c>
      <c r="F1183" t="s">
        <v>1921</v>
      </c>
      <c r="G1183" t="s">
        <v>1921</v>
      </c>
      <c r="H1183">
        <v>0</v>
      </c>
      <c r="I1183">
        <v>2041.625238</v>
      </c>
      <c r="J1183">
        <v>0</v>
      </c>
      <c r="K1183" t="s">
        <v>1921</v>
      </c>
      <c r="L1183">
        <v>0.8149648382261691</v>
      </c>
      <c r="M1183">
        <v>154.97</v>
      </c>
      <c r="N1183">
        <v>97.58</v>
      </c>
    </row>
    <row r="1184" spans="1:14">
      <c r="A1184" s="1" t="s">
        <v>1196</v>
      </c>
      <c r="B1184">
        <f>HYPERLINK("https://www.suredividend.com/sure-analysis-research-database/","Nevro Corp")</f>
        <v>0</v>
      </c>
      <c r="C1184" t="s">
        <v>1922</v>
      </c>
      <c r="D1184">
        <v>36.73</v>
      </c>
      <c r="E1184">
        <v>0</v>
      </c>
      <c r="F1184" t="s">
        <v>1921</v>
      </c>
      <c r="G1184" t="s">
        <v>1921</v>
      </c>
      <c r="H1184">
        <v>0</v>
      </c>
      <c r="I1184">
        <v>1301.347169</v>
      </c>
      <c r="J1184" t="s">
        <v>1921</v>
      </c>
      <c r="K1184">
        <v>-0</v>
      </c>
      <c r="L1184">
        <v>1.554226861288108</v>
      </c>
      <c r="M1184">
        <v>93.69</v>
      </c>
      <c r="N1184">
        <v>34.7</v>
      </c>
    </row>
    <row r="1185" spans="1:14">
      <c r="A1185" s="1" t="s">
        <v>1197</v>
      </c>
      <c r="B1185">
        <f>HYPERLINK("https://www.suredividend.com/sure-analysis-research-database/","Invitae Corp")</f>
        <v>0</v>
      </c>
      <c r="C1185" t="s">
        <v>1922</v>
      </c>
      <c r="D1185">
        <v>2.12</v>
      </c>
      <c r="E1185">
        <v>0</v>
      </c>
      <c r="F1185" t="s">
        <v>1921</v>
      </c>
      <c r="G1185" t="s">
        <v>1921</v>
      </c>
      <c r="H1185">
        <v>0</v>
      </c>
      <c r="I1185">
        <v>514.938704</v>
      </c>
      <c r="J1185" t="s">
        <v>1921</v>
      </c>
      <c r="K1185">
        <v>-0</v>
      </c>
      <c r="L1185">
        <v>3.934017100101111</v>
      </c>
      <c r="M1185">
        <v>13.32</v>
      </c>
      <c r="N1185">
        <v>1.67</v>
      </c>
    </row>
    <row r="1186" spans="1:14">
      <c r="A1186" s="1" t="s">
        <v>1198</v>
      </c>
      <c r="B1186">
        <f>HYPERLINK("https://www.suredividend.com/sure-analysis-NWBI/","Northwest Bancshares Inc")</f>
        <v>0</v>
      </c>
      <c r="C1186" t="s">
        <v>1923</v>
      </c>
      <c r="D1186">
        <v>13.98</v>
      </c>
      <c r="E1186">
        <v>0.05722460658082976</v>
      </c>
      <c r="F1186">
        <v>0</v>
      </c>
      <c r="G1186">
        <v>0.03303780411393231</v>
      </c>
      <c r="H1186">
        <v>0.7834063256140751</v>
      </c>
      <c r="I1186">
        <v>1775.297371</v>
      </c>
      <c r="J1186">
        <v>13.8626876666953</v>
      </c>
      <c r="K1186">
        <v>0.7756498273406683</v>
      </c>
      <c r="L1186">
        <v>0.5075209174947151</v>
      </c>
      <c r="M1186">
        <v>15.35</v>
      </c>
      <c r="N1186">
        <v>11.71</v>
      </c>
    </row>
    <row r="1187" spans="1:14">
      <c r="A1187" s="1" t="s">
        <v>1199</v>
      </c>
      <c r="B1187">
        <f>HYPERLINK("https://www.suredividend.com/sure-analysis-NWE/","Northwestern Corp.")</f>
        <v>0</v>
      </c>
      <c r="C1187" t="s">
        <v>1930</v>
      </c>
      <c r="D1187">
        <v>58.58</v>
      </c>
      <c r="E1187">
        <v>0.04301809491293957</v>
      </c>
      <c r="F1187">
        <v>0.0161290322580645</v>
      </c>
      <c r="G1187">
        <v>0.02753251148110025</v>
      </c>
      <c r="H1187">
        <v>2.478399485396339</v>
      </c>
      <c r="I1187">
        <v>3384.678765</v>
      </c>
      <c r="J1187">
        <v>20.1949806977327</v>
      </c>
      <c r="K1187">
        <v>0.8152629886172168</v>
      </c>
      <c r="L1187">
        <v>0.37358992672801</v>
      </c>
      <c r="M1187">
        <v>60.98</v>
      </c>
      <c r="N1187">
        <v>48.16</v>
      </c>
    </row>
    <row r="1188" spans="1:14">
      <c r="A1188" s="1" t="s">
        <v>1200</v>
      </c>
      <c r="B1188">
        <f>HYPERLINK("https://www.suredividend.com/sure-analysis-research-database/","National Western Life Group Inc")</f>
        <v>0</v>
      </c>
      <c r="C1188" t="s">
        <v>1923</v>
      </c>
      <c r="D1188">
        <v>281.54</v>
      </c>
      <c r="E1188">
        <v>0.001278681588069</v>
      </c>
      <c r="F1188" t="s">
        <v>1921</v>
      </c>
      <c r="G1188" t="s">
        <v>1921</v>
      </c>
      <c r="H1188">
        <v>0.360000014305114</v>
      </c>
      <c r="I1188">
        <v>967.377071</v>
      </c>
      <c r="J1188">
        <v>8.321523189677421</v>
      </c>
      <c r="K1188">
        <v>0.01102603412879369</v>
      </c>
      <c r="L1188">
        <v>0.759764541846464</v>
      </c>
      <c r="M1188">
        <v>309.25</v>
      </c>
      <c r="N1188">
        <v>166.64</v>
      </c>
    </row>
    <row r="1189" spans="1:14">
      <c r="A1189" s="1" t="s">
        <v>1201</v>
      </c>
      <c r="B1189">
        <f>HYPERLINK("https://www.suredividend.com/sure-analysis-NWN/","Northwest Natural Holding Co")</f>
        <v>0</v>
      </c>
      <c r="C1189" t="s">
        <v>1930</v>
      </c>
      <c r="D1189">
        <v>48.73</v>
      </c>
      <c r="E1189">
        <v>0.03981120459675765</v>
      </c>
      <c r="F1189" t="s">
        <v>1921</v>
      </c>
      <c r="G1189" t="s">
        <v>1921</v>
      </c>
      <c r="H1189">
        <v>1.904389707214475</v>
      </c>
      <c r="I1189">
        <v>1710.382116</v>
      </c>
      <c r="J1189">
        <v>21.67922067976424</v>
      </c>
      <c r="K1189">
        <v>0.7934957113393647</v>
      </c>
      <c r="L1189">
        <v>0.403610989582034</v>
      </c>
      <c r="M1189">
        <v>55.97</v>
      </c>
      <c r="N1189">
        <v>41.94</v>
      </c>
    </row>
    <row r="1190" spans="1:14">
      <c r="A1190" s="1" t="s">
        <v>1202</v>
      </c>
      <c r="B1190">
        <f>HYPERLINK("https://www.suredividend.com/sure-analysis-research-database/","Northwest Pipe Co.")</f>
        <v>0</v>
      </c>
      <c r="C1190" t="s">
        <v>1924</v>
      </c>
      <c r="D1190">
        <v>33.64</v>
      </c>
      <c r="E1190">
        <v>0</v>
      </c>
      <c r="F1190" t="s">
        <v>1921</v>
      </c>
      <c r="G1190" t="s">
        <v>1921</v>
      </c>
      <c r="H1190">
        <v>0</v>
      </c>
      <c r="I1190">
        <v>333.95639</v>
      </c>
      <c r="J1190">
        <v>13.11741978867984</v>
      </c>
      <c r="K1190">
        <v>0</v>
      </c>
      <c r="L1190">
        <v>0.561936359429234</v>
      </c>
      <c r="M1190">
        <v>37.62</v>
      </c>
      <c r="N1190">
        <v>24.3</v>
      </c>
    </row>
    <row r="1191" spans="1:14">
      <c r="A1191" s="1" t="s">
        <v>1203</v>
      </c>
      <c r="B1191">
        <f>HYPERLINK("https://www.suredividend.com/sure-analysis-research-database/","Quanex Building Products Corp")</f>
        <v>0</v>
      </c>
      <c r="C1191" t="s">
        <v>1924</v>
      </c>
      <c r="D1191">
        <v>23.65</v>
      </c>
      <c r="E1191">
        <v>0.013457852473667</v>
      </c>
      <c r="F1191">
        <v>0</v>
      </c>
      <c r="G1191">
        <v>0.1486983549970351</v>
      </c>
      <c r="H1191">
        <v>0.318278211002227</v>
      </c>
      <c r="I1191">
        <v>783.530413</v>
      </c>
      <c r="J1191">
        <v>8.869887843008513</v>
      </c>
      <c r="K1191">
        <v>0.1196534627827921</v>
      </c>
      <c r="L1191">
        <v>0.9704752149160031</v>
      </c>
      <c r="M1191">
        <v>25.75</v>
      </c>
      <c r="N1191">
        <v>17.94</v>
      </c>
    </row>
    <row r="1192" spans="1:14">
      <c r="A1192" s="1" t="s">
        <v>1204</v>
      </c>
      <c r="B1192">
        <f>HYPERLINK("https://www.suredividend.com/sure-analysis-research-database/","NextGen Healthcare Inc")</f>
        <v>0</v>
      </c>
      <c r="C1192" t="s">
        <v>1922</v>
      </c>
      <c r="D1192">
        <v>17.83</v>
      </c>
      <c r="E1192">
        <v>0</v>
      </c>
      <c r="F1192" t="s">
        <v>1921</v>
      </c>
      <c r="G1192" t="s">
        <v>1921</v>
      </c>
      <c r="H1192">
        <v>0</v>
      </c>
      <c r="I1192">
        <v>1205.393531</v>
      </c>
      <c r="J1192">
        <v>59.34391150600629</v>
      </c>
      <c r="K1192">
        <v>0</v>
      </c>
      <c r="L1192">
        <v>0.6150043117678921</v>
      </c>
      <c r="M1192">
        <v>21.99</v>
      </c>
      <c r="N1192">
        <v>16.13</v>
      </c>
    </row>
    <row r="1193" spans="1:14">
      <c r="A1193" s="1" t="s">
        <v>1205</v>
      </c>
      <c r="B1193">
        <f>HYPERLINK("https://www.suredividend.com/sure-analysis-NXRT/","NexPoint Residential Trust Inc")</f>
        <v>0</v>
      </c>
      <c r="C1193" t="s">
        <v>1929</v>
      </c>
      <c r="D1193">
        <v>41.56</v>
      </c>
      <c r="E1193">
        <v>0.04042348411934552</v>
      </c>
      <c r="F1193">
        <v>0.1052631578947367</v>
      </c>
      <c r="G1193">
        <v>0.1093328057258516</v>
      </c>
      <c r="H1193">
        <v>1.542120700980552</v>
      </c>
      <c r="I1193">
        <v>1061.829698</v>
      </c>
      <c r="J1193">
        <v>41.36783924107839</v>
      </c>
      <c r="K1193">
        <v>1.57022777821052</v>
      </c>
      <c r="L1193">
        <v>0.7913285283454251</v>
      </c>
      <c r="M1193">
        <v>92.94</v>
      </c>
      <c r="N1193">
        <v>38.32</v>
      </c>
    </row>
    <row r="1194" spans="1:14">
      <c r="A1194" s="1" t="s">
        <v>1206</v>
      </c>
      <c r="B1194">
        <f>HYPERLINK("https://www.suredividend.com/sure-analysis-NYMT/","New York Mortgage Trust Inc")</f>
        <v>0</v>
      </c>
      <c r="C1194" t="s">
        <v>1929</v>
      </c>
      <c r="D1194">
        <v>2.69</v>
      </c>
      <c r="E1194">
        <v>0.1486988847583643</v>
      </c>
      <c r="F1194" t="s">
        <v>1921</v>
      </c>
      <c r="G1194" t="s">
        <v>1921</v>
      </c>
      <c r="H1194">
        <v>0.378513575754181</v>
      </c>
      <c r="I1194">
        <v>998.1602820000001</v>
      </c>
      <c r="J1194" t="s">
        <v>1921</v>
      </c>
      <c r="K1194" t="s">
        <v>1921</v>
      </c>
      <c r="L1194">
        <v>1.041168848396253</v>
      </c>
      <c r="M1194">
        <v>3.36</v>
      </c>
      <c r="N1194">
        <v>2</v>
      </c>
    </row>
    <row r="1195" spans="1:14">
      <c r="A1195" s="1" t="s">
        <v>1207</v>
      </c>
      <c r="B1195">
        <f>HYPERLINK("https://www.suredividend.com/sure-analysis-research-database/","Oasis Petroleum Inc.")</f>
        <v>0</v>
      </c>
      <c r="C1195" t="s">
        <v>1926</v>
      </c>
      <c r="D1195">
        <v>109.3</v>
      </c>
      <c r="E1195">
        <v>0.016078129074666</v>
      </c>
      <c r="F1195" t="s">
        <v>1921</v>
      </c>
      <c r="G1195" t="s">
        <v>1921</v>
      </c>
      <c r="H1195">
        <v>1.757339507861067</v>
      </c>
      <c r="I1195">
        <v>2145.305533</v>
      </c>
      <c r="J1195" t="s">
        <v>1921</v>
      </c>
      <c r="K1195" t="s">
        <v>1921</v>
      </c>
      <c r="L1195">
        <v>0.91924262363451</v>
      </c>
      <c r="M1195">
        <v>158.98</v>
      </c>
      <c r="N1195">
        <v>67.28</v>
      </c>
    </row>
    <row r="1196" spans="1:14">
      <c r="A1196" s="1" t="s">
        <v>1208</v>
      </c>
      <c r="B1196">
        <f>HYPERLINK("https://www.suredividend.com/sure-analysis-research-database/","Outbrain Inc")</f>
        <v>0</v>
      </c>
      <c r="C1196" t="s">
        <v>1921</v>
      </c>
      <c r="D1196">
        <v>4.16</v>
      </c>
      <c r="E1196">
        <v>0</v>
      </c>
      <c r="F1196" t="s">
        <v>1921</v>
      </c>
      <c r="G1196" t="s">
        <v>1921</v>
      </c>
      <c r="H1196">
        <v>0</v>
      </c>
      <c r="I1196">
        <v>218.631962</v>
      </c>
      <c r="J1196">
        <v>0</v>
      </c>
      <c r="K1196" t="s">
        <v>1921</v>
      </c>
      <c r="L1196">
        <v>1.448251057479104</v>
      </c>
      <c r="M1196">
        <v>15.7</v>
      </c>
      <c r="N1196">
        <v>3.33</v>
      </c>
    </row>
    <row r="1197" spans="1:14">
      <c r="A1197" s="1" t="s">
        <v>1209</v>
      </c>
      <c r="B1197">
        <f>HYPERLINK("https://www.suredividend.com/sure-analysis-research-database/","Origin Bancorp Inc")</f>
        <v>0</v>
      </c>
      <c r="C1197" t="s">
        <v>1923</v>
      </c>
      <c r="D1197">
        <v>36.19</v>
      </c>
      <c r="E1197">
        <v>0.015945332395563</v>
      </c>
      <c r="F1197" t="s">
        <v>1921</v>
      </c>
      <c r="G1197" t="s">
        <v>1921</v>
      </c>
      <c r="H1197">
        <v>0.577061579395436</v>
      </c>
      <c r="I1197">
        <v>1110.09937</v>
      </c>
      <c r="J1197">
        <v>12.82477120091498</v>
      </c>
      <c r="K1197">
        <v>0.1663001669727481</v>
      </c>
      <c r="L1197">
        <v>0.603280514816086</v>
      </c>
      <c r="M1197">
        <v>46.96</v>
      </c>
      <c r="N1197">
        <v>35.36</v>
      </c>
    </row>
    <row r="1198" spans="1:14">
      <c r="A1198" s="1" t="s">
        <v>1210</v>
      </c>
      <c r="B1198">
        <f>HYPERLINK("https://www.suredividend.com/sure-analysis-research-database/","Ortho Clinical Diagnostics Holdings plc")</f>
        <v>0</v>
      </c>
      <c r="C1198" t="s">
        <v>1921</v>
      </c>
      <c r="D1198">
        <v>17.63</v>
      </c>
      <c r="E1198">
        <v>0</v>
      </c>
      <c r="F1198" t="s">
        <v>1921</v>
      </c>
      <c r="G1198" t="s">
        <v>1921</v>
      </c>
      <c r="H1198">
        <v>0</v>
      </c>
      <c r="I1198">
        <v>0</v>
      </c>
      <c r="J1198">
        <v>0</v>
      </c>
      <c r="K1198" t="s">
        <v>1921</v>
      </c>
    </row>
    <row r="1199" spans="1:14">
      <c r="A1199" s="1" t="s">
        <v>1211</v>
      </c>
      <c r="B1199">
        <f>HYPERLINK("https://www.suredividend.com/sure-analysis-research-database/","OceanFirst Financial Corp.")</f>
        <v>0</v>
      </c>
      <c r="C1199" t="s">
        <v>1923</v>
      </c>
      <c r="D1199">
        <v>21.59</v>
      </c>
      <c r="E1199">
        <v>0.033832359741911</v>
      </c>
      <c r="F1199">
        <v>0.1764705882352942</v>
      </c>
      <c r="G1199">
        <v>0.05922384104881218</v>
      </c>
      <c r="H1199">
        <v>0.730440646827876</v>
      </c>
      <c r="I1199">
        <v>1276.86559</v>
      </c>
      <c r="J1199">
        <v>11.40343647983424</v>
      </c>
      <c r="K1199">
        <v>0.3844424456988821</v>
      </c>
      <c r="L1199">
        <v>0.577784372972453</v>
      </c>
      <c r="M1199">
        <v>24.02</v>
      </c>
      <c r="N1199">
        <v>17.84</v>
      </c>
    </row>
    <row r="1200" spans="1:14">
      <c r="A1200" s="1" t="s">
        <v>1212</v>
      </c>
      <c r="B1200">
        <f>HYPERLINK("https://www.suredividend.com/sure-analysis-research-database/","Ocugen Inc")</f>
        <v>0</v>
      </c>
      <c r="C1200" t="s">
        <v>1922</v>
      </c>
      <c r="D1200">
        <v>1.25</v>
      </c>
      <c r="E1200">
        <v>0</v>
      </c>
      <c r="F1200" t="s">
        <v>1921</v>
      </c>
      <c r="G1200" t="s">
        <v>1921</v>
      </c>
      <c r="H1200">
        <v>0</v>
      </c>
      <c r="I1200">
        <v>273.608616</v>
      </c>
      <c r="J1200">
        <v>0</v>
      </c>
      <c r="K1200" t="s">
        <v>1921</v>
      </c>
      <c r="L1200">
        <v>2.531106823404012</v>
      </c>
      <c r="M1200">
        <v>4.64</v>
      </c>
      <c r="N1200">
        <v>1.09</v>
      </c>
    </row>
    <row r="1201" spans="1:14">
      <c r="A1201" s="1" t="s">
        <v>1213</v>
      </c>
      <c r="B1201">
        <f>HYPERLINK("https://www.suredividend.com/sure-analysis-research-database/","Ocwen Financial Corp.")</f>
        <v>0</v>
      </c>
      <c r="C1201" t="s">
        <v>1923</v>
      </c>
      <c r="D1201">
        <v>31.96</v>
      </c>
      <c r="E1201">
        <v>0</v>
      </c>
      <c r="F1201" t="s">
        <v>1921</v>
      </c>
      <c r="G1201" t="s">
        <v>1921</v>
      </c>
      <c r="H1201">
        <v>0</v>
      </c>
      <c r="I1201">
        <v>242.587522</v>
      </c>
      <c r="J1201">
        <v>2.339771625</v>
      </c>
      <c r="K1201">
        <v>0</v>
      </c>
      <c r="L1201">
        <v>0.957017615475476</v>
      </c>
      <c r="M1201">
        <v>41.25</v>
      </c>
      <c r="N1201">
        <v>17.76</v>
      </c>
    </row>
    <row r="1202" spans="1:14">
      <c r="A1202" s="1" t="s">
        <v>1214</v>
      </c>
      <c r="B1202">
        <f>HYPERLINK("https://www.suredividend.com/sure-analysis-research-database/","Ocular Therapeutix Inc")</f>
        <v>0</v>
      </c>
      <c r="C1202" t="s">
        <v>1922</v>
      </c>
      <c r="D1202">
        <v>3.6</v>
      </c>
      <c r="E1202">
        <v>0</v>
      </c>
      <c r="F1202" t="s">
        <v>1921</v>
      </c>
      <c r="G1202" t="s">
        <v>1921</v>
      </c>
      <c r="H1202">
        <v>0</v>
      </c>
      <c r="I1202">
        <v>277.237386</v>
      </c>
      <c r="J1202">
        <v>0</v>
      </c>
      <c r="K1202" t="s">
        <v>1921</v>
      </c>
      <c r="L1202">
        <v>1.539777652365499</v>
      </c>
      <c r="M1202">
        <v>6.69</v>
      </c>
      <c r="N1202">
        <v>2.57</v>
      </c>
    </row>
    <row r="1203" spans="1:14">
      <c r="A1203" s="1" t="s">
        <v>1215</v>
      </c>
      <c r="B1203">
        <f>HYPERLINK("https://www.suredividend.com/sure-analysis-research-database/","Oncocyte Corporation")</f>
        <v>0</v>
      </c>
      <c r="C1203" t="s">
        <v>1922</v>
      </c>
      <c r="D1203">
        <v>0.3801</v>
      </c>
      <c r="E1203">
        <v>0</v>
      </c>
      <c r="F1203" t="s">
        <v>1921</v>
      </c>
      <c r="G1203" t="s">
        <v>1921</v>
      </c>
      <c r="H1203">
        <v>0</v>
      </c>
      <c r="I1203">
        <v>45.096516</v>
      </c>
      <c r="J1203">
        <v>0</v>
      </c>
      <c r="K1203" t="s">
        <v>1921</v>
      </c>
      <c r="L1203">
        <v>1.021403433899375</v>
      </c>
      <c r="M1203">
        <v>2.26</v>
      </c>
      <c r="N1203">
        <v>0.2418</v>
      </c>
    </row>
    <row r="1204" spans="1:14">
      <c r="A1204" s="1" t="s">
        <v>1216</v>
      </c>
      <c r="B1204">
        <f>HYPERLINK("https://www.suredividend.com/sure-analysis-ODC/","Oil-Dri Corp. Of America")</f>
        <v>0</v>
      </c>
      <c r="C1204" t="s">
        <v>1925</v>
      </c>
      <c r="D1204">
        <v>34.86</v>
      </c>
      <c r="E1204">
        <v>0.0321285140562249</v>
      </c>
      <c r="F1204">
        <v>0.03703703703703698</v>
      </c>
      <c r="G1204">
        <v>0.04012620718096094</v>
      </c>
      <c r="H1204">
        <v>1.075020404895366</v>
      </c>
      <c r="I1204">
        <v>178.076035</v>
      </c>
      <c r="J1204">
        <v>17.18051473227207</v>
      </c>
      <c r="K1204">
        <v>0.6635928425280037</v>
      </c>
      <c r="L1204">
        <v>0.267047146893908</v>
      </c>
      <c r="M1204">
        <v>35.3</v>
      </c>
      <c r="N1204">
        <v>21.75</v>
      </c>
    </row>
    <row r="1205" spans="1:14">
      <c r="A1205" s="1" t="s">
        <v>1217</v>
      </c>
      <c r="B1205">
        <f>HYPERLINK("https://www.suredividend.com/sure-analysis-research-database/","ODP Corporation (The)")</f>
        <v>0</v>
      </c>
      <c r="C1205" t="s">
        <v>1927</v>
      </c>
      <c r="D1205">
        <v>48.24</v>
      </c>
      <c r="E1205">
        <v>0</v>
      </c>
      <c r="F1205" t="s">
        <v>1921</v>
      </c>
      <c r="G1205" t="s">
        <v>1921</v>
      </c>
      <c r="H1205">
        <v>0</v>
      </c>
      <c r="I1205">
        <v>2209.906383</v>
      </c>
      <c r="J1205" t="s">
        <v>1921</v>
      </c>
      <c r="K1205">
        <v>-0</v>
      </c>
      <c r="L1205">
        <v>0.771005973337142</v>
      </c>
      <c r="M1205">
        <v>49.99</v>
      </c>
      <c r="N1205">
        <v>28.85</v>
      </c>
    </row>
    <row r="1206" spans="1:14">
      <c r="A1206" s="1" t="s">
        <v>1218</v>
      </c>
      <c r="B1206">
        <f>HYPERLINK("https://www.suredividend.com/sure-analysis-research-database/","Orion Engineered Carbons S.A.")</f>
        <v>0</v>
      </c>
      <c r="C1206" t="s">
        <v>1925</v>
      </c>
      <c r="D1206">
        <v>18.98</v>
      </c>
      <c r="E1206">
        <v>0.004355873223212001</v>
      </c>
      <c r="F1206" t="s">
        <v>1921</v>
      </c>
      <c r="G1206" t="s">
        <v>1921</v>
      </c>
      <c r="H1206">
        <v>0.08267447377657601</v>
      </c>
      <c r="I1206">
        <v>1154.27986</v>
      </c>
      <c r="J1206">
        <v>0</v>
      </c>
      <c r="K1206" t="s">
        <v>1921</v>
      </c>
      <c r="L1206">
        <v>1.164058507364694</v>
      </c>
      <c r="M1206">
        <v>20.58</v>
      </c>
      <c r="N1206">
        <v>12.86</v>
      </c>
    </row>
    <row r="1207" spans="1:14">
      <c r="A1207" s="1" t="s">
        <v>1219</v>
      </c>
      <c r="B1207">
        <f>HYPERLINK("https://www.suredividend.com/sure-analysis-OFC/","Corporate Office Properties Trust")</f>
        <v>0</v>
      </c>
      <c r="C1207" t="s">
        <v>1929</v>
      </c>
      <c r="D1207">
        <v>25.76</v>
      </c>
      <c r="E1207">
        <v>0.04270186335403727</v>
      </c>
      <c r="F1207">
        <v>0</v>
      </c>
      <c r="G1207">
        <v>0</v>
      </c>
      <c r="H1207">
        <v>1.082051236461344</v>
      </c>
      <c r="I1207">
        <v>2896.023255</v>
      </c>
      <c r="J1207">
        <v>21.19206807516684</v>
      </c>
      <c r="K1207">
        <v>0.8942572202159867</v>
      </c>
      <c r="L1207">
        <v>0.638660134034963</v>
      </c>
      <c r="M1207">
        <v>28.45</v>
      </c>
      <c r="N1207">
        <v>21.98</v>
      </c>
    </row>
    <row r="1208" spans="1:14">
      <c r="A1208" s="1" t="s">
        <v>1220</v>
      </c>
      <c r="B1208">
        <f>HYPERLINK("https://www.suredividend.com/sure-analysis-research-database/","OFG Bancorp")</f>
        <v>0</v>
      </c>
      <c r="C1208" t="s">
        <v>1923</v>
      </c>
      <c r="D1208">
        <v>27.7</v>
      </c>
      <c r="E1208">
        <v>0.025023782078306</v>
      </c>
      <c r="F1208">
        <v>0.6666666666666667</v>
      </c>
      <c r="G1208">
        <v>0.2722596365393921</v>
      </c>
      <c r="H1208">
        <v>0.693158763569077</v>
      </c>
      <c r="I1208">
        <v>1317.502634</v>
      </c>
      <c r="J1208">
        <v>8.602581973464272</v>
      </c>
      <c r="K1208">
        <v>0.2221662703747042</v>
      </c>
      <c r="L1208">
        <v>0.7569870216079101</v>
      </c>
      <c r="M1208">
        <v>30.12</v>
      </c>
      <c r="N1208">
        <v>24.02</v>
      </c>
    </row>
    <row r="1209" spans="1:14">
      <c r="A1209" s="1" t="s">
        <v>1221</v>
      </c>
      <c r="B1209">
        <f>HYPERLINK("https://www.suredividend.com/sure-analysis-research-database/","Orthofix Medical Inc")</f>
        <v>0</v>
      </c>
      <c r="C1209" t="s">
        <v>1922</v>
      </c>
      <c r="D1209">
        <v>18.83</v>
      </c>
      <c r="E1209">
        <v>0</v>
      </c>
      <c r="F1209" t="s">
        <v>1921</v>
      </c>
      <c r="G1209" t="s">
        <v>1921</v>
      </c>
      <c r="H1209">
        <v>0</v>
      </c>
      <c r="I1209">
        <v>376.81839</v>
      </c>
      <c r="J1209" t="s">
        <v>1921</v>
      </c>
      <c r="K1209">
        <v>-0</v>
      </c>
      <c r="L1209">
        <v>0.7969563301333391</v>
      </c>
      <c r="M1209">
        <v>36.13</v>
      </c>
      <c r="N1209">
        <v>13.76</v>
      </c>
    </row>
    <row r="1210" spans="1:14">
      <c r="A1210" s="1" t="s">
        <v>1222</v>
      </c>
      <c r="B1210">
        <f>HYPERLINK("https://www.suredividend.com/sure-analysis-research-database/","Omega Flex Inc")</f>
        <v>0</v>
      </c>
      <c r="C1210" t="s">
        <v>1924</v>
      </c>
      <c r="D1210">
        <v>94.81999999999999</v>
      </c>
      <c r="E1210">
        <v>0.013226174103029</v>
      </c>
      <c r="F1210">
        <v>0.06666666666666643</v>
      </c>
      <c r="G1210">
        <v>0.05922384104881218</v>
      </c>
      <c r="H1210">
        <v>1.254105828449236</v>
      </c>
      <c r="I1210">
        <v>957.143612</v>
      </c>
      <c r="J1210">
        <v>38.22916531693094</v>
      </c>
      <c r="K1210">
        <v>0.5056878340521113</v>
      </c>
      <c r="L1210">
        <v>0.8188189617861791</v>
      </c>
      <c r="M1210">
        <v>159.5</v>
      </c>
      <c r="N1210">
        <v>77.04000000000001</v>
      </c>
    </row>
    <row r="1211" spans="1:14">
      <c r="A1211" s="1" t="s">
        <v>1223</v>
      </c>
      <c r="B1211">
        <f>HYPERLINK("https://www.suredividend.com/sure-analysis-OGS/","ONE Gas Inc")</f>
        <v>0</v>
      </c>
      <c r="C1211" t="s">
        <v>1930</v>
      </c>
      <c r="D1211">
        <v>78.87</v>
      </c>
      <c r="E1211">
        <v>0.03144414859896031</v>
      </c>
      <c r="F1211">
        <v>0.06896551724137945</v>
      </c>
      <c r="G1211">
        <v>0.06151655480544238</v>
      </c>
      <c r="H1211">
        <v>2.452075752583677</v>
      </c>
      <c r="I1211">
        <v>4270.103509</v>
      </c>
      <c r="J1211">
        <v>19.840367940787</v>
      </c>
      <c r="K1211">
        <v>0.6176513230689363</v>
      </c>
      <c r="L1211">
        <v>0.412338302367068</v>
      </c>
      <c r="M1211">
        <v>90.2</v>
      </c>
      <c r="N1211">
        <v>68.34</v>
      </c>
    </row>
    <row r="1212" spans="1:14">
      <c r="A1212" s="1" t="s">
        <v>1224</v>
      </c>
      <c r="B1212">
        <f>HYPERLINK("https://www.suredividend.com/sure-analysis-research-database/","O-I Glass Inc")</f>
        <v>0</v>
      </c>
      <c r="C1212" t="s">
        <v>1927</v>
      </c>
      <c r="D1212">
        <v>19.26</v>
      </c>
      <c r="E1212">
        <v>0</v>
      </c>
      <c r="F1212" t="s">
        <v>1921</v>
      </c>
      <c r="G1212" t="s">
        <v>1921</v>
      </c>
      <c r="H1212">
        <v>0</v>
      </c>
      <c r="I1212">
        <v>2987.95058</v>
      </c>
      <c r="J1212">
        <v>0</v>
      </c>
      <c r="K1212" t="s">
        <v>1921</v>
      </c>
      <c r="L1212">
        <v>1.137295024123942</v>
      </c>
      <c r="M1212">
        <v>19.92</v>
      </c>
      <c r="N1212">
        <v>11.51</v>
      </c>
    </row>
    <row r="1213" spans="1:14">
      <c r="A1213" s="1" t="s">
        <v>1225</v>
      </c>
      <c r="B1213">
        <f>HYPERLINK("https://www.suredividend.com/sure-analysis-research-database/","Oceaneering International, Inc.")</f>
        <v>0</v>
      </c>
      <c r="C1213" t="s">
        <v>1926</v>
      </c>
      <c r="D1213">
        <v>17.16</v>
      </c>
      <c r="E1213">
        <v>0</v>
      </c>
      <c r="F1213" t="s">
        <v>1921</v>
      </c>
      <c r="G1213" t="s">
        <v>1921</v>
      </c>
      <c r="H1213">
        <v>0</v>
      </c>
      <c r="I1213">
        <v>1720.453449</v>
      </c>
      <c r="J1213" t="s">
        <v>1921</v>
      </c>
      <c r="K1213">
        <v>-0</v>
      </c>
      <c r="L1213">
        <v>0.9285290816917561</v>
      </c>
      <c r="M1213">
        <v>18.2</v>
      </c>
      <c r="N1213">
        <v>7.25</v>
      </c>
    </row>
    <row r="1214" spans="1:14">
      <c r="A1214" s="1" t="s">
        <v>1226</v>
      </c>
      <c r="B1214">
        <f>HYPERLINK("https://www.suredividend.com/sure-analysis-research-database/","Oil States International, Inc.")</f>
        <v>0</v>
      </c>
      <c r="C1214" t="s">
        <v>1926</v>
      </c>
      <c r="D1214">
        <v>7.6</v>
      </c>
      <c r="E1214">
        <v>0</v>
      </c>
      <c r="F1214" t="s">
        <v>1921</v>
      </c>
      <c r="G1214" t="s">
        <v>1921</v>
      </c>
      <c r="H1214">
        <v>0</v>
      </c>
      <c r="I1214">
        <v>485.656287</v>
      </c>
      <c r="J1214" t="s">
        <v>1921</v>
      </c>
      <c r="K1214">
        <v>-0</v>
      </c>
      <c r="L1214">
        <v>0.86588008471682</v>
      </c>
      <c r="M1214">
        <v>9.02</v>
      </c>
      <c r="N1214">
        <v>3.51</v>
      </c>
    </row>
    <row r="1215" spans="1:14">
      <c r="A1215" s="1" t="s">
        <v>1227</v>
      </c>
      <c r="B1215">
        <f>HYPERLINK("https://www.suredividend.com/sure-analysis-research-database/","Olema Pharmaceuticals Inc")</f>
        <v>0</v>
      </c>
      <c r="C1215" t="s">
        <v>1921</v>
      </c>
      <c r="D1215">
        <v>3.12</v>
      </c>
      <c r="E1215">
        <v>0</v>
      </c>
      <c r="F1215" t="s">
        <v>1921</v>
      </c>
      <c r="G1215" t="s">
        <v>1921</v>
      </c>
      <c r="H1215">
        <v>0</v>
      </c>
      <c r="I1215">
        <v>126.220932</v>
      </c>
      <c r="J1215">
        <v>0</v>
      </c>
      <c r="K1215" t="s">
        <v>1921</v>
      </c>
      <c r="L1215">
        <v>1.437098991591276</v>
      </c>
      <c r="M1215">
        <v>7.76</v>
      </c>
      <c r="N1215">
        <v>2</v>
      </c>
    </row>
    <row r="1216" spans="1:14">
      <c r="A1216" s="1" t="s">
        <v>1228</v>
      </c>
      <c r="B1216">
        <f>HYPERLINK("https://www.suredividend.com/sure-analysis-OLP/","One Liberty Properties, Inc.")</f>
        <v>0</v>
      </c>
      <c r="C1216" t="s">
        <v>1929</v>
      </c>
      <c r="D1216">
        <v>23.07</v>
      </c>
      <c r="E1216">
        <v>0.07802340702210664</v>
      </c>
      <c r="F1216">
        <v>0</v>
      </c>
      <c r="G1216">
        <v>0</v>
      </c>
      <c r="H1216">
        <v>1.749142935277059</v>
      </c>
      <c r="I1216">
        <v>486.175704</v>
      </c>
      <c r="J1216">
        <v>12.56235506886127</v>
      </c>
      <c r="K1216">
        <v>0.9254724525275444</v>
      </c>
      <c r="L1216">
        <v>0.733076888298397</v>
      </c>
      <c r="M1216">
        <v>32.42</v>
      </c>
      <c r="N1216">
        <v>20.05</v>
      </c>
    </row>
    <row r="1217" spans="1:14">
      <c r="A1217" s="1" t="s">
        <v>1229</v>
      </c>
      <c r="B1217">
        <f>HYPERLINK("https://www.suredividend.com/sure-analysis-research-database/","Outset Medical Inc")</f>
        <v>0</v>
      </c>
      <c r="C1217" t="s">
        <v>1921</v>
      </c>
      <c r="D1217">
        <v>26.64</v>
      </c>
      <c r="E1217">
        <v>0</v>
      </c>
      <c r="F1217" t="s">
        <v>1921</v>
      </c>
      <c r="G1217" t="s">
        <v>1921</v>
      </c>
      <c r="H1217">
        <v>0</v>
      </c>
      <c r="I1217">
        <v>1286.921923</v>
      </c>
      <c r="J1217">
        <v>0</v>
      </c>
      <c r="K1217" t="s">
        <v>1921</v>
      </c>
      <c r="L1217">
        <v>1.583933054712757</v>
      </c>
      <c r="M1217">
        <v>48.71</v>
      </c>
      <c r="N1217">
        <v>11.41</v>
      </c>
    </row>
    <row r="1218" spans="1:14">
      <c r="A1218" s="1" t="s">
        <v>1230</v>
      </c>
      <c r="B1218">
        <f>HYPERLINK("https://www.suredividend.com/sure-analysis-research-database/","Omnicell, Inc.")</f>
        <v>0</v>
      </c>
      <c r="C1218" t="s">
        <v>1922</v>
      </c>
      <c r="D1218">
        <v>53.84</v>
      </c>
      <c r="E1218">
        <v>0</v>
      </c>
      <c r="F1218" t="s">
        <v>1921</v>
      </c>
      <c r="G1218" t="s">
        <v>1921</v>
      </c>
      <c r="H1218">
        <v>0</v>
      </c>
      <c r="I1218">
        <v>2384.507054</v>
      </c>
      <c r="J1218">
        <v>49.63896691633533</v>
      </c>
      <c r="K1218">
        <v>0</v>
      </c>
      <c r="L1218">
        <v>1.11973451498492</v>
      </c>
      <c r="M1218">
        <v>168.49</v>
      </c>
      <c r="N1218">
        <v>46.11</v>
      </c>
    </row>
    <row r="1219" spans="1:14">
      <c r="A1219" s="1" t="s">
        <v>1231</v>
      </c>
      <c r="B1219">
        <f>HYPERLINK("https://www.suredividend.com/sure-analysis-research-database/","Omeros Corporation")</f>
        <v>0</v>
      </c>
      <c r="C1219" t="s">
        <v>1922</v>
      </c>
      <c r="D1219">
        <v>2.87</v>
      </c>
      <c r="E1219">
        <v>0</v>
      </c>
      <c r="F1219" t="s">
        <v>1921</v>
      </c>
      <c r="G1219" t="s">
        <v>1921</v>
      </c>
      <c r="H1219">
        <v>0</v>
      </c>
      <c r="I1219">
        <v>180.035143</v>
      </c>
      <c r="J1219" t="s">
        <v>1921</v>
      </c>
      <c r="K1219">
        <v>-0</v>
      </c>
      <c r="L1219">
        <v>1.641406852240721</v>
      </c>
      <c r="M1219">
        <v>7.75</v>
      </c>
      <c r="N1219">
        <v>1.74</v>
      </c>
    </row>
    <row r="1220" spans="1:14">
      <c r="A1220" s="1" t="s">
        <v>1232</v>
      </c>
      <c r="B1220">
        <f>HYPERLINK("https://www.suredividend.com/sure-analysis-research-database/","Omega Therapeutics Inc")</f>
        <v>0</v>
      </c>
      <c r="C1220" t="s">
        <v>1921</v>
      </c>
      <c r="D1220">
        <v>7.63</v>
      </c>
      <c r="E1220">
        <v>0</v>
      </c>
      <c r="F1220" t="s">
        <v>1921</v>
      </c>
      <c r="G1220" t="s">
        <v>1921</v>
      </c>
      <c r="H1220">
        <v>0</v>
      </c>
      <c r="I1220">
        <v>366.612764</v>
      </c>
      <c r="J1220">
        <v>0</v>
      </c>
      <c r="K1220" t="s">
        <v>1921</v>
      </c>
      <c r="L1220">
        <v>1.707733570076956</v>
      </c>
      <c r="M1220">
        <v>14.31</v>
      </c>
      <c r="N1220">
        <v>1.98</v>
      </c>
    </row>
    <row r="1221" spans="1:14">
      <c r="A1221" s="1" t="s">
        <v>1233</v>
      </c>
      <c r="B1221">
        <f>HYPERLINK("https://www.suredividend.com/sure-analysis-research-database/","Owens &amp; Minor, Inc.")</f>
        <v>0</v>
      </c>
      <c r="C1221" t="s">
        <v>1922</v>
      </c>
      <c r="D1221">
        <v>19.87</v>
      </c>
      <c r="E1221">
        <v>0</v>
      </c>
      <c r="F1221" t="s">
        <v>1921</v>
      </c>
      <c r="G1221" t="s">
        <v>1921</v>
      </c>
      <c r="H1221">
        <v>0</v>
      </c>
      <c r="I1221">
        <v>1514.778601</v>
      </c>
      <c r="J1221">
        <v>12.38019370667321</v>
      </c>
      <c r="K1221">
        <v>0</v>
      </c>
      <c r="L1221">
        <v>1.143062704395409</v>
      </c>
      <c r="M1221">
        <v>49.11</v>
      </c>
      <c r="N1221">
        <v>14.1</v>
      </c>
    </row>
    <row r="1222" spans="1:14">
      <c r="A1222" s="1" t="s">
        <v>1234</v>
      </c>
      <c r="B1222">
        <f>HYPERLINK("https://www.suredividend.com/sure-analysis-research-database/","Singular Genomics Systems Inc")</f>
        <v>0</v>
      </c>
      <c r="C1222" t="s">
        <v>1921</v>
      </c>
      <c r="D1222">
        <v>1.91</v>
      </c>
      <c r="E1222">
        <v>0</v>
      </c>
      <c r="F1222" t="s">
        <v>1921</v>
      </c>
      <c r="G1222" t="s">
        <v>1921</v>
      </c>
      <c r="H1222">
        <v>0</v>
      </c>
      <c r="I1222">
        <v>136.36657</v>
      </c>
      <c r="J1222">
        <v>0</v>
      </c>
      <c r="K1222" t="s">
        <v>1921</v>
      </c>
      <c r="L1222">
        <v>1.926778762661677</v>
      </c>
      <c r="M1222">
        <v>10.29</v>
      </c>
      <c r="N1222">
        <v>1.8</v>
      </c>
    </row>
    <row r="1223" spans="1:14">
      <c r="A1223" s="1" t="s">
        <v>1235</v>
      </c>
      <c r="B1223">
        <f>HYPERLINK("https://www.suredividend.com/sure-analysis-research-database/","Old National Bancorp")</f>
        <v>0</v>
      </c>
      <c r="C1223" t="s">
        <v>1923</v>
      </c>
      <c r="D1223">
        <v>18.12</v>
      </c>
      <c r="E1223">
        <v>0.030605470601392</v>
      </c>
      <c r="F1223">
        <v>0</v>
      </c>
      <c r="G1223">
        <v>0.01493197894539389</v>
      </c>
      <c r="H1223">
        <v>0.55457112729723</v>
      </c>
      <c r="I1223">
        <v>5307.1668</v>
      </c>
      <c r="J1223">
        <v>19.39357002952612</v>
      </c>
      <c r="K1223">
        <v>0.4951527922296696</v>
      </c>
      <c r="L1223">
        <v>0.6727155151232671</v>
      </c>
      <c r="M1223">
        <v>20.32</v>
      </c>
      <c r="N1223">
        <v>14</v>
      </c>
    </row>
    <row r="1224" spans="1:14">
      <c r="A1224" s="1" t="s">
        <v>1236</v>
      </c>
      <c r="B1224">
        <f>HYPERLINK("https://www.suredividend.com/sure-analysis-research-database/","Oncorus Inc")</f>
        <v>0</v>
      </c>
      <c r="C1224" t="s">
        <v>1921</v>
      </c>
      <c r="D1224">
        <v>0.2973</v>
      </c>
      <c r="E1224">
        <v>0</v>
      </c>
      <c r="F1224" t="s">
        <v>1921</v>
      </c>
      <c r="G1224" t="s">
        <v>1921</v>
      </c>
      <c r="H1224">
        <v>0</v>
      </c>
      <c r="I1224">
        <v>7.721813</v>
      </c>
      <c r="J1224">
        <v>0</v>
      </c>
      <c r="K1224" t="s">
        <v>1921</v>
      </c>
      <c r="L1224">
        <v>0.561309321517116</v>
      </c>
      <c r="M1224">
        <v>4.68</v>
      </c>
      <c r="N1224">
        <v>0.23</v>
      </c>
    </row>
    <row r="1225" spans="1:14">
      <c r="A1225" s="1" t="s">
        <v>1237</v>
      </c>
      <c r="B1225">
        <f>HYPERLINK("https://www.suredividend.com/sure-analysis-research-database/","Oncternal Therapeutics Inc")</f>
        <v>0</v>
      </c>
      <c r="C1225" t="s">
        <v>1922</v>
      </c>
      <c r="D1225">
        <v>1.04</v>
      </c>
      <c r="E1225">
        <v>0</v>
      </c>
      <c r="F1225" t="s">
        <v>1921</v>
      </c>
      <c r="G1225" t="s">
        <v>1921</v>
      </c>
      <c r="H1225">
        <v>0</v>
      </c>
      <c r="I1225">
        <v>58.590503</v>
      </c>
      <c r="J1225" t="s">
        <v>1921</v>
      </c>
      <c r="K1225">
        <v>-0</v>
      </c>
      <c r="L1225">
        <v>1.49325835970949</v>
      </c>
      <c r="M1225">
        <v>2.22</v>
      </c>
      <c r="N1225">
        <v>0.6902</v>
      </c>
    </row>
    <row r="1226" spans="1:14">
      <c r="A1226" s="1" t="s">
        <v>1238</v>
      </c>
      <c r="B1226">
        <f>HYPERLINK("https://www.suredividend.com/sure-analysis-research-database/","1life Healthcare Inc")</f>
        <v>0</v>
      </c>
      <c r="C1226" t="s">
        <v>1922</v>
      </c>
      <c r="D1226">
        <v>16.4</v>
      </c>
      <c r="E1226">
        <v>0</v>
      </c>
      <c r="F1226" t="s">
        <v>1921</v>
      </c>
      <c r="G1226" t="s">
        <v>1921</v>
      </c>
      <c r="H1226">
        <v>0</v>
      </c>
      <c r="I1226">
        <v>3351.346117</v>
      </c>
      <c r="J1226">
        <v>0</v>
      </c>
      <c r="K1226" t="s">
        <v>1921</v>
      </c>
      <c r="L1226">
        <v>1.586683305584696</v>
      </c>
      <c r="M1226">
        <v>17.55</v>
      </c>
      <c r="N1226">
        <v>5.94</v>
      </c>
    </row>
    <row r="1227" spans="1:14">
      <c r="A1227" s="1" t="s">
        <v>1239</v>
      </c>
      <c r="B1227">
        <f>HYPERLINK("https://www.suredividend.com/sure-analysis-research-database/","Onewater Marine Inc")</f>
        <v>0</v>
      </c>
      <c r="C1227" t="s">
        <v>1927</v>
      </c>
      <c r="D1227">
        <v>29.08</v>
      </c>
      <c r="E1227">
        <v>0</v>
      </c>
      <c r="F1227" t="s">
        <v>1921</v>
      </c>
      <c r="G1227" t="s">
        <v>1921</v>
      </c>
      <c r="H1227">
        <v>0</v>
      </c>
      <c r="I1227">
        <v>415.69988</v>
      </c>
      <c r="J1227">
        <v>0</v>
      </c>
      <c r="K1227" t="s">
        <v>1921</v>
      </c>
      <c r="L1227">
        <v>1.143545741714612</v>
      </c>
      <c r="M1227">
        <v>56.19</v>
      </c>
      <c r="N1227">
        <v>27.1</v>
      </c>
    </row>
    <row r="1228" spans="1:14">
      <c r="A1228" s="1" t="s">
        <v>1240</v>
      </c>
      <c r="B1228">
        <f>HYPERLINK("https://www.suredividend.com/sure-analysis-research-database/","ON24 Inc")</f>
        <v>0</v>
      </c>
      <c r="C1228" t="s">
        <v>1921</v>
      </c>
      <c r="D1228">
        <v>8.49</v>
      </c>
      <c r="E1228">
        <v>0</v>
      </c>
      <c r="F1228" t="s">
        <v>1921</v>
      </c>
      <c r="G1228" t="s">
        <v>1921</v>
      </c>
      <c r="H1228">
        <v>0</v>
      </c>
      <c r="I1228">
        <v>403.139118</v>
      </c>
      <c r="J1228">
        <v>0</v>
      </c>
      <c r="K1228" t="s">
        <v>1921</v>
      </c>
      <c r="L1228">
        <v>1.125948270493993</v>
      </c>
      <c r="M1228">
        <v>17.7</v>
      </c>
      <c r="N1228">
        <v>6.95</v>
      </c>
    </row>
    <row r="1229" spans="1:14">
      <c r="A1229" s="1" t="s">
        <v>1241</v>
      </c>
      <c r="B1229">
        <f>HYPERLINK("https://www.suredividend.com/sure-analysis-research-database/","Onto Innovation Inc.")</f>
        <v>0</v>
      </c>
      <c r="C1229" t="s">
        <v>1920</v>
      </c>
      <c r="D1229">
        <v>75.7</v>
      </c>
      <c r="E1229">
        <v>0</v>
      </c>
      <c r="F1229" t="s">
        <v>1921</v>
      </c>
      <c r="G1229" t="s">
        <v>1921</v>
      </c>
      <c r="H1229">
        <v>0</v>
      </c>
      <c r="I1229">
        <v>3748.431525</v>
      </c>
      <c r="J1229">
        <v>0</v>
      </c>
      <c r="K1229" t="s">
        <v>1921</v>
      </c>
      <c r="L1229">
        <v>1.73030091618233</v>
      </c>
      <c r="M1229">
        <v>106.09</v>
      </c>
      <c r="N1229">
        <v>56.02</v>
      </c>
    </row>
    <row r="1230" spans="1:14">
      <c r="A1230" s="1" t="s">
        <v>1242</v>
      </c>
      <c r="B1230">
        <f>HYPERLINK("https://www.suredividend.com/sure-analysis-research-database/","Ooma Inc")</f>
        <v>0</v>
      </c>
      <c r="C1230" t="s">
        <v>1931</v>
      </c>
      <c r="D1230">
        <v>13.57</v>
      </c>
      <c r="E1230">
        <v>0</v>
      </c>
      <c r="F1230" t="s">
        <v>1921</v>
      </c>
      <c r="G1230" t="s">
        <v>1921</v>
      </c>
      <c r="H1230">
        <v>0</v>
      </c>
      <c r="I1230">
        <v>336.536</v>
      </c>
      <c r="J1230" t="s">
        <v>1921</v>
      </c>
      <c r="K1230">
        <v>-0</v>
      </c>
      <c r="L1230">
        <v>0.839657668330246</v>
      </c>
      <c r="M1230">
        <v>19.81</v>
      </c>
      <c r="N1230">
        <v>10.82</v>
      </c>
    </row>
    <row r="1231" spans="1:14">
      <c r="A1231" s="1" t="s">
        <v>1243</v>
      </c>
      <c r="B1231">
        <f>HYPERLINK("https://www.suredividend.com/sure-analysis-research-database/","Option Care Health Inc.")</f>
        <v>0</v>
      </c>
      <c r="C1231" t="s">
        <v>1922</v>
      </c>
      <c r="D1231">
        <v>28.54</v>
      </c>
      <c r="E1231">
        <v>0</v>
      </c>
      <c r="F1231" t="s">
        <v>1921</v>
      </c>
      <c r="G1231" t="s">
        <v>1921</v>
      </c>
      <c r="H1231">
        <v>0</v>
      </c>
      <c r="I1231">
        <v>5191.452542</v>
      </c>
      <c r="J1231">
        <v>29.0847453819176</v>
      </c>
      <c r="K1231">
        <v>0</v>
      </c>
      <c r="L1231">
        <v>1.010887207509155</v>
      </c>
      <c r="M1231">
        <v>35.87</v>
      </c>
      <c r="N1231">
        <v>21.32</v>
      </c>
    </row>
    <row r="1232" spans="1:14">
      <c r="A1232" s="1" t="s">
        <v>1244</v>
      </c>
      <c r="B1232">
        <f>HYPERLINK("https://www.suredividend.com/sure-analysis-OPI/","Office Properties Income Trust")</f>
        <v>0</v>
      </c>
      <c r="C1232" t="s">
        <v>1929</v>
      </c>
      <c r="D1232">
        <v>15.34</v>
      </c>
      <c r="E1232">
        <v>0.1434159061277706</v>
      </c>
      <c r="F1232">
        <v>0</v>
      </c>
      <c r="G1232">
        <v>0.05045837224621441</v>
      </c>
      <c r="H1232">
        <v>2.097644726601415</v>
      </c>
      <c r="I1232">
        <v>745.003345</v>
      </c>
      <c r="J1232">
        <v>163.0561052878091</v>
      </c>
      <c r="K1232">
        <v>22.15041949948695</v>
      </c>
      <c r="L1232">
        <v>0.804722046407481</v>
      </c>
      <c r="M1232">
        <v>25.27</v>
      </c>
      <c r="N1232">
        <v>11.71</v>
      </c>
    </row>
    <row r="1233" spans="1:14">
      <c r="A1233" s="1" t="s">
        <v>1245</v>
      </c>
      <c r="B1233">
        <f>HYPERLINK("https://www.suredividend.com/sure-analysis-research-database/","Opko Health Inc")</f>
        <v>0</v>
      </c>
      <c r="C1233" t="s">
        <v>1922</v>
      </c>
      <c r="D1233">
        <v>1.24</v>
      </c>
      <c r="E1233">
        <v>0</v>
      </c>
      <c r="F1233" t="s">
        <v>1921</v>
      </c>
      <c r="G1233" t="s">
        <v>1921</v>
      </c>
      <c r="H1233">
        <v>0</v>
      </c>
      <c r="I1233">
        <v>958.13049</v>
      </c>
      <c r="J1233" t="s">
        <v>1921</v>
      </c>
      <c r="K1233">
        <v>-0</v>
      </c>
      <c r="L1233">
        <v>1.521717939531259</v>
      </c>
      <c r="M1233">
        <v>4.92</v>
      </c>
      <c r="N1233">
        <v>1.03</v>
      </c>
    </row>
    <row r="1234" spans="1:14">
      <c r="A1234" s="1" t="s">
        <v>1246</v>
      </c>
      <c r="B1234">
        <f>HYPERLINK("https://www.suredividend.com/sure-analysis-research-database/","Oportun Financial Corp")</f>
        <v>0</v>
      </c>
      <c r="C1234" t="s">
        <v>1923</v>
      </c>
      <c r="D1234">
        <v>5.84</v>
      </c>
      <c r="E1234">
        <v>0</v>
      </c>
      <c r="F1234" t="s">
        <v>1921</v>
      </c>
      <c r="G1234" t="s">
        <v>1921</v>
      </c>
      <c r="H1234">
        <v>0</v>
      </c>
      <c r="I1234">
        <v>193.845386</v>
      </c>
      <c r="J1234">
        <v>0</v>
      </c>
      <c r="K1234" t="s">
        <v>1921</v>
      </c>
      <c r="L1234">
        <v>1.494576461433022</v>
      </c>
      <c r="M1234">
        <v>20.3</v>
      </c>
      <c r="N1234">
        <v>4.03</v>
      </c>
    </row>
    <row r="1235" spans="1:14">
      <c r="A1235" s="1" t="s">
        <v>1247</v>
      </c>
      <c r="B1235">
        <f>HYPERLINK("https://www.suredividend.com/sure-analysis-research-database/","OptimizeRx Corp")</f>
        <v>0</v>
      </c>
      <c r="C1235" t="s">
        <v>1922</v>
      </c>
      <c r="D1235">
        <v>18.83</v>
      </c>
      <c r="E1235">
        <v>0</v>
      </c>
      <c r="F1235" t="s">
        <v>1921</v>
      </c>
      <c r="G1235" t="s">
        <v>1921</v>
      </c>
      <c r="H1235">
        <v>0</v>
      </c>
      <c r="I1235">
        <v>322.985661</v>
      </c>
      <c r="J1235">
        <v>0</v>
      </c>
      <c r="K1235" t="s">
        <v>1921</v>
      </c>
      <c r="L1235">
        <v>1.438534845653868</v>
      </c>
      <c r="M1235">
        <v>57.77</v>
      </c>
      <c r="N1235">
        <v>13.33</v>
      </c>
    </row>
    <row r="1236" spans="1:14">
      <c r="A1236" s="1" t="s">
        <v>1248</v>
      </c>
      <c r="B1236">
        <f>HYPERLINK("https://www.suredividend.com/sure-analysis-research-database/","Oppenheimer Holdings Inc")</f>
        <v>0</v>
      </c>
      <c r="C1236" t="s">
        <v>1923</v>
      </c>
      <c r="D1236">
        <v>44.53</v>
      </c>
      <c r="E1236">
        <v>0.013335090712183</v>
      </c>
      <c r="F1236">
        <v>0</v>
      </c>
      <c r="G1236">
        <v>0.06399531281508364</v>
      </c>
      <c r="H1236">
        <v>0.5938115894135221</v>
      </c>
      <c r="I1236">
        <v>483.87625</v>
      </c>
      <c r="J1236">
        <v>6.643457814786848</v>
      </c>
      <c r="K1236">
        <v>0.1047286753815736</v>
      </c>
      <c r="L1236">
        <v>0.7384535001215581</v>
      </c>
      <c r="M1236">
        <v>49</v>
      </c>
      <c r="N1236">
        <v>28.18</v>
      </c>
    </row>
    <row r="1237" spans="1:14">
      <c r="A1237" s="1" t="s">
        <v>1249</v>
      </c>
      <c r="B1237">
        <f>HYPERLINK("https://www.suredividend.com/sure-analysis-research-database/","Ormat Technologies Inc")</f>
        <v>0</v>
      </c>
      <c r="C1237" t="s">
        <v>1930</v>
      </c>
      <c r="D1237">
        <v>84.40000000000001</v>
      </c>
      <c r="E1237">
        <v>0.00567618115134</v>
      </c>
      <c r="F1237">
        <v>0</v>
      </c>
      <c r="G1237">
        <v>-0.1220077508454901</v>
      </c>
      <c r="H1237">
        <v>0.4790696891731631</v>
      </c>
      <c r="I1237">
        <v>4730.466814</v>
      </c>
      <c r="J1237">
        <v>70.91622538040627</v>
      </c>
      <c r="K1237">
        <v>0.4059912620111552</v>
      </c>
      <c r="L1237">
        <v>0.7970355788504621</v>
      </c>
      <c r="M1237">
        <v>101.69</v>
      </c>
      <c r="N1237">
        <v>59.97</v>
      </c>
    </row>
    <row r="1238" spans="1:14">
      <c r="A1238" s="1" t="s">
        <v>1250</v>
      </c>
      <c r="B1238">
        <f>HYPERLINK("https://www.suredividend.com/sure-analysis-ORC/","Orchid Island Capital Inc")</f>
        <v>0</v>
      </c>
      <c r="C1238" t="s">
        <v>1929</v>
      </c>
      <c r="D1238">
        <v>11.26</v>
      </c>
      <c r="E1238">
        <v>0.1705150976909414</v>
      </c>
      <c r="F1238">
        <v>0</v>
      </c>
      <c r="G1238">
        <v>0.1974057110829954</v>
      </c>
      <c r="H1238">
        <v>2.793354982138308</v>
      </c>
      <c r="I1238">
        <v>420.079691</v>
      </c>
      <c r="J1238" t="s">
        <v>1921</v>
      </c>
      <c r="K1238" t="s">
        <v>1921</v>
      </c>
      <c r="L1238">
        <v>0.802604709950258</v>
      </c>
      <c r="M1238">
        <v>18.67</v>
      </c>
      <c r="N1238">
        <v>7.59</v>
      </c>
    </row>
    <row r="1239" spans="1:14">
      <c r="A1239" s="1" t="s">
        <v>1251</v>
      </c>
      <c r="B1239">
        <f>HYPERLINK("https://www.suredividend.com/sure-analysis-research-database/","Organogenesis Holdings Inc")</f>
        <v>0</v>
      </c>
      <c r="C1239" t="s">
        <v>1922</v>
      </c>
      <c r="D1239">
        <v>2.7</v>
      </c>
      <c r="E1239">
        <v>0</v>
      </c>
      <c r="F1239" t="s">
        <v>1921</v>
      </c>
      <c r="G1239" t="s">
        <v>1921</v>
      </c>
      <c r="H1239">
        <v>0</v>
      </c>
      <c r="I1239">
        <v>353.470767</v>
      </c>
      <c r="J1239">
        <v>0</v>
      </c>
      <c r="K1239" t="s">
        <v>1921</v>
      </c>
      <c r="L1239">
        <v>1.206205864204598</v>
      </c>
      <c r="M1239">
        <v>9.27</v>
      </c>
      <c r="N1239">
        <v>2.23</v>
      </c>
    </row>
    <row r="1240" spans="1:14">
      <c r="A1240" s="1" t="s">
        <v>1252</v>
      </c>
      <c r="B1240">
        <f>HYPERLINK("https://www.suredividend.com/sure-analysis-research-database/","ORIC Pharmaceuticals Inc")</f>
        <v>0</v>
      </c>
      <c r="C1240" t="s">
        <v>1921</v>
      </c>
      <c r="D1240">
        <v>5.62</v>
      </c>
      <c r="E1240">
        <v>0</v>
      </c>
      <c r="F1240" t="s">
        <v>1921</v>
      </c>
      <c r="G1240" t="s">
        <v>1921</v>
      </c>
      <c r="H1240">
        <v>0</v>
      </c>
      <c r="I1240">
        <v>222.420812</v>
      </c>
      <c r="J1240">
        <v>0</v>
      </c>
      <c r="K1240" t="s">
        <v>1921</v>
      </c>
      <c r="L1240">
        <v>0.8220945829216211</v>
      </c>
      <c r="M1240">
        <v>15.14</v>
      </c>
      <c r="N1240">
        <v>2.36</v>
      </c>
    </row>
    <row r="1241" spans="1:14">
      <c r="A1241" s="1" t="s">
        <v>1253</v>
      </c>
      <c r="B1241">
        <f>HYPERLINK("https://www.suredividend.com/sure-analysis-research-database/","Oramed Pharmaceuticals, Inc")</f>
        <v>0</v>
      </c>
      <c r="C1241" t="s">
        <v>1922</v>
      </c>
      <c r="D1241">
        <v>9.550000000000001</v>
      </c>
      <c r="E1241">
        <v>0</v>
      </c>
      <c r="F1241" t="s">
        <v>1921</v>
      </c>
      <c r="G1241" t="s">
        <v>1921</v>
      </c>
      <c r="H1241">
        <v>0</v>
      </c>
      <c r="I1241">
        <v>373.545729</v>
      </c>
      <c r="J1241">
        <v>0</v>
      </c>
      <c r="K1241" t="s">
        <v>1921</v>
      </c>
      <c r="L1241">
        <v>1.783979117212969</v>
      </c>
      <c r="M1241">
        <v>13.73</v>
      </c>
      <c r="N1241">
        <v>3.59</v>
      </c>
    </row>
    <row r="1242" spans="1:14">
      <c r="A1242" s="1" t="s">
        <v>1254</v>
      </c>
      <c r="B1242">
        <f>HYPERLINK("https://www.suredividend.com/sure-analysis-research-database/","Orrstown Financial Services, Inc.")</f>
        <v>0</v>
      </c>
      <c r="C1242" t="s">
        <v>1923</v>
      </c>
      <c r="D1242">
        <v>22.91</v>
      </c>
      <c r="E1242">
        <v>0.032805795388375</v>
      </c>
      <c r="F1242" t="s">
        <v>1921</v>
      </c>
      <c r="G1242" t="s">
        <v>1921</v>
      </c>
      <c r="H1242">
        <v>0.7515807723476751</v>
      </c>
      <c r="I1242">
        <v>244.622762</v>
      </c>
      <c r="J1242">
        <v>12.79608527174766</v>
      </c>
      <c r="K1242">
        <v>0.4246219052811723</v>
      </c>
      <c r="L1242">
        <v>0.41879633364702</v>
      </c>
      <c r="M1242">
        <v>28.42</v>
      </c>
      <c r="N1242">
        <v>21.32</v>
      </c>
    </row>
    <row r="1243" spans="1:14">
      <c r="A1243" s="1" t="s">
        <v>1255</v>
      </c>
      <c r="B1243">
        <f>HYPERLINK("https://www.suredividend.com/sure-analysis-research-database/","Old Second Bancorporation Inc.")</f>
        <v>0</v>
      </c>
      <c r="C1243" t="s">
        <v>1923</v>
      </c>
      <c r="D1243">
        <v>16.53</v>
      </c>
      <c r="E1243">
        <v>0.01203649325509</v>
      </c>
      <c r="F1243">
        <v>0</v>
      </c>
      <c r="G1243">
        <v>0.3797296614612149</v>
      </c>
      <c r="H1243">
        <v>0.198963233506651</v>
      </c>
      <c r="I1243">
        <v>736.8075260000001</v>
      </c>
      <c r="J1243">
        <v>21.21958142268813</v>
      </c>
      <c r="K1243">
        <v>0.2437976148837777</v>
      </c>
      <c r="L1243">
        <v>0.6629734140657271</v>
      </c>
      <c r="M1243">
        <v>17.8</v>
      </c>
      <c r="N1243">
        <v>12.75</v>
      </c>
    </row>
    <row r="1244" spans="1:14">
      <c r="A1244" s="1" t="s">
        <v>1256</v>
      </c>
      <c r="B1244">
        <f>HYPERLINK("https://www.suredividend.com/sure-analysis-research-database/","OSI Systems, Inc.")</f>
        <v>0</v>
      </c>
      <c r="C1244" t="s">
        <v>1920</v>
      </c>
      <c r="D1244">
        <v>81.13</v>
      </c>
      <c r="E1244">
        <v>0</v>
      </c>
      <c r="F1244" t="s">
        <v>1921</v>
      </c>
      <c r="G1244" t="s">
        <v>1921</v>
      </c>
      <c r="H1244">
        <v>0</v>
      </c>
      <c r="I1244">
        <v>1367.426922</v>
      </c>
      <c r="J1244">
        <v>12.71670159202083</v>
      </c>
      <c r="K1244">
        <v>0</v>
      </c>
      <c r="L1244">
        <v>0.6548197058220321</v>
      </c>
      <c r="M1244">
        <v>103.17</v>
      </c>
      <c r="N1244">
        <v>69.31</v>
      </c>
    </row>
    <row r="1245" spans="1:14">
      <c r="A1245" s="1" t="s">
        <v>1257</v>
      </c>
      <c r="B1245">
        <f>HYPERLINK("https://www.suredividend.com/sure-analysis-research-database/","OneSpan Inc")</f>
        <v>0</v>
      </c>
      <c r="C1245" t="s">
        <v>1920</v>
      </c>
      <c r="D1245">
        <v>11.89</v>
      </c>
      <c r="E1245">
        <v>0</v>
      </c>
      <c r="F1245" t="s">
        <v>1921</v>
      </c>
      <c r="G1245" t="s">
        <v>1921</v>
      </c>
      <c r="H1245">
        <v>0</v>
      </c>
      <c r="I1245">
        <v>471.582369</v>
      </c>
      <c r="J1245" t="s">
        <v>1921</v>
      </c>
      <c r="K1245">
        <v>-0</v>
      </c>
      <c r="L1245">
        <v>1.079049414952631</v>
      </c>
      <c r="M1245">
        <v>17.79</v>
      </c>
      <c r="N1245">
        <v>8.15</v>
      </c>
    </row>
    <row r="1246" spans="1:14">
      <c r="A1246" s="1" t="s">
        <v>1258</v>
      </c>
      <c r="B1246">
        <f>HYPERLINK("https://www.suredividend.com/sure-analysis-research-database/","Overstock.com Inc")</f>
        <v>0</v>
      </c>
      <c r="C1246" t="s">
        <v>1927</v>
      </c>
      <c r="D1246">
        <v>18.88</v>
      </c>
      <c r="E1246">
        <v>0</v>
      </c>
      <c r="F1246" t="s">
        <v>1921</v>
      </c>
      <c r="G1246" t="s">
        <v>1921</v>
      </c>
      <c r="H1246">
        <v>0</v>
      </c>
      <c r="I1246">
        <v>863.566631</v>
      </c>
      <c r="J1246">
        <v>130.1728415797407</v>
      </c>
      <c r="K1246">
        <v>0</v>
      </c>
      <c r="L1246">
        <v>1.923380599935738</v>
      </c>
      <c r="M1246">
        <v>59.46</v>
      </c>
      <c r="N1246">
        <v>17.05</v>
      </c>
    </row>
    <row r="1247" spans="1:14">
      <c r="A1247" s="1" t="s">
        <v>1259</v>
      </c>
      <c r="B1247">
        <f>HYPERLINK("https://www.suredividend.com/sure-analysis-research-database/","Orasure Technologies Inc.")</f>
        <v>0</v>
      </c>
      <c r="C1247" t="s">
        <v>1922</v>
      </c>
      <c r="D1247">
        <v>4.66</v>
      </c>
      <c r="E1247">
        <v>0</v>
      </c>
      <c r="F1247" t="s">
        <v>1921</v>
      </c>
      <c r="G1247" t="s">
        <v>1921</v>
      </c>
      <c r="H1247">
        <v>0</v>
      </c>
      <c r="I1247">
        <v>338.41872</v>
      </c>
      <c r="J1247" t="s">
        <v>1921</v>
      </c>
      <c r="K1247">
        <v>-0</v>
      </c>
      <c r="L1247">
        <v>1.196849418696709</v>
      </c>
      <c r="M1247">
        <v>9.42</v>
      </c>
      <c r="N1247">
        <v>2.62</v>
      </c>
    </row>
    <row r="1248" spans="1:14">
      <c r="A1248" s="1" t="s">
        <v>1260</v>
      </c>
      <c r="B1248">
        <f>HYPERLINK("https://www.suredividend.com/sure-analysis-research-database/","OneSpaWorld Holdings Limited")</f>
        <v>0</v>
      </c>
      <c r="C1248" t="s">
        <v>1927</v>
      </c>
      <c r="D1248">
        <v>9.69</v>
      </c>
      <c r="E1248">
        <v>0</v>
      </c>
      <c r="F1248" t="s">
        <v>1921</v>
      </c>
      <c r="G1248" t="s">
        <v>1921</v>
      </c>
      <c r="H1248">
        <v>0</v>
      </c>
      <c r="I1248">
        <v>766.029229</v>
      </c>
      <c r="J1248">
        <v>0</v>
      </c>
      <c r="K1248" t="s">
        <v>1921</v>
      </c>
      <c r="L1248">
        <v>0.8814329837726611</v>
      </c>
      <c r="M1248">
        <v>10.99</v>
      </c>
      <c r="N1248">
        <v>6.8</v>
      </c>
    </row>
    <row r="1249" spans="1:14">
      <c r="A1249" s="1" t="s">
        <v>1261</v>
      </c>
      <c r="B1249">
        <f>HYPERLINK("https://www.suredividend.com/sure-analysis-research-database/","Outlook Therapeutics Inc")</f>
        <v>0</v>
      </c>
      <c r="C1249" t="s">
        <v>1922</v>
      </c>
      <c r="D1249">
        <v>1.05</v>
      </c>
      <c r="E1249">
        <v>0</v>
      </c>
      <c r="F1249" t="s">
        <v>1921</v>
      </c>
      <c r="G1249" t="s">
        <v>1921</v>
      </c>
      <c r="H1249">
        <v>0</v>
      </c>
      <c r="I1249">
        <v>239.616261</v>
      </c>
      <c r="J1249" t="s">
        <v>1921</v>
      </c>
      <c r="K1249">
        <v>-0</v>
      </c>
      <c r="L1249">
        <v>1.092349325810668</v>
      </c>
      <c r="M1249">
        <v>2.12</v>
      </c>
      <c r="N1249">
        <v>0.6839000000000001</v>
      </c>
    </row>
    <row r="1250" spans="1:14">
      <c r="A1250" s="1" t="s">
        <v>1262</v>
      </c>
      <c r="B1250">
        <f>HYPERLINK("https://www.suredividend.com/sure-analysis-research-database/","Ontrak Inc")</f>
        <v>0</v>
      </c>
      <c r="C1250" t="s">
        <v>1921</v>
      </c>
      <c r="D1250">
        <v>0.4</v>
      </c>
      <c r="E1250">
        <v>0</v>
      </c>
      <c r="F1250" t="s">
        <v>1921</v>
      </c>
      <c r="G1250" t="s">
        <v>1921</v>
      </c>
      <c r="H1250">
        <v>0</v>
      </c>
      <c r="I1250">
        <v>10.40768</v>
      </c>
      <c r="J1250">
        <v>0</v>
      </c>
      <c r="K1250" t="s">
        <v>1921</v>
      </c>
      <c r="L1250">
        <v>1.410441623213197</v>
      </c>
      <c r="M1250">
        <v>4.88</v>
      </c>
      <c r="N1250">
        <v>0.34</v>
      </c>
    </row>
    <row r="1251" spans="1:14">
      <c r="A1251" s="1" t="s">
        <v>1263</v>
      </c>
      <c r="B1251">
        <f>HYPERLINK("https://www.suredividend.com/sure-analysis-OTTR/","Otter Tail Corporation")</f>
        <v>0</v>
      </c>
      <c r="C1251" t="s">
        <v>1930</v>
      </c>
      <c r="D1251">
        <v>60.67</v>
      </c>
      <c r="E1251">
        <v>0.02719630789517059</v>
      </c>
      <c r="F1251">
        <v>0.05769230769230771</v>
      </c>
      <c r="G1251">
        <v>0.04249943715347881</v>
      </c>
      <c r="H1251">
        <v>1.633774041759342</v>
      </c>
      <c r="I1251">
        <v>2525.749858</v>
      </c>
      <c r="J1251">
        <v>8.596951142425358</v>
      </c>
      <c r="K1251">
        <v>0.2330633440455552</v>
      </c>
      <c r="L1251">
        <v>0.59533066923263</v>
      </c>
      <c r="M1251">
        <v>81.84</v>
      </c>
      <c r="N1251">
        <v>52.2</v>
      </c>
    </row>
    <row r="1252" spans="1:14">
      <c r="A1252" s="1" t="s">
        <v>1264</v>
      </c>
      <c r="B1252">
        <f>HYPERLINK("https://www.suredividend.com/sure-analysis-research-database/","Ouster Inc")</f>
        <v>0</v>
      </c>
      <c r="C1252" t="s">
        <v>1921</v>
      </c>
      <c r="D1252">
        <v>1.04</v>
      </c>
      <c r="E1252">
        <v>0</v>
      </c>
      <c r="F1252" t="s">
        <v>1921</v>
      </c>
      <c r="G1252" t="s">
        <v>1921</v>
      </c>
      <c r="H1252">
        <v>0</v>
      </c>
      <c r="I1252">
        <v>192.136391</v>
      </c>
      <c r="J1252">
        <v>0</v>
      </c>
      <c r="K1252" t="s">
        <v>1921</v>
      </c>
      <c r="L1252">
        <v>1.936711351554651</v>
      </c>
      <c r="M1252">
        <v>5</v>
      </c>
      <c r="N1252">
        <v>0.76</v>
      </c>
    </row>
    <row r="1253" spans="1:14">
      <c r="A1253" s="1" t="s">
        <v>1265</v>
      </c>
      <c r="B1253">
        <f>HYPERLINK("https://www.suredividend.com/sure-analysis-research-database/","Outfront Media Inc")</f>
        <v>0</v>
      </c>
      <c r="C1253" t="s">
        <v>1929</v>
      </c>
      <c r="D1253">
        <v>17.9</v>
      </c>
      <c r="E1253">
        <v>0.065419332507983</v>
      </c>
      <c r="F1253" t="s">
        <v>1921</v>
      </c>
      <c r="G1253" t="s">
        <v>1921</v>
      </c>
      <c r="H1253">
        <v>1.1710060518929</v>
      </c>
      <c r="I1253">
        <v>2938.34901</v>
      </c>
      <c r="J1253">
        <v>20.53353606149546</v>
      </c>
      <c r="K1253">
        <v>1.286395750733714</v>
      </c>
      <c r="L1253">
        <v>1.321769647089845</v>
      </c>
      <c r="M1253">
        <v>27.98</v>
      </c>
      <c r="N1253">
        <v>14.72</v>
      </c>
    </row>
    <row r="1254" spans="1:14">
      <c r="A1254" s="1" t="s">
        <v>1266</v>
      </c>
      <c r="B1254">
        <f>HYPERLINK("https://www.suredividend.com/sure-analysis-research-database/","Ovintiv Inc")</f>
        <v>0</v>
      </c>
      <c r="C1254" t="s">
        <v>1926</v>
      </c>
      <c r="D1254">
        <v>49.89</v>
      </c>
      <c r="E1254">
        <v>0.018912082567206</v>
      </c>
      <c r="F1254">
        <v>0.7857142857142856</v>
      </c>
      <c r="G1254">
        <v>0.7553743576132639</v>
      </c>
      <c r="H1254">
        <v>0.9435237992779121</v>
      </c>
      <c r="I1254">
        <v>12259.687869</v>
      </c>
      <c r="J1254">
        <v>3.326014071885513</v>
      </c>
      <c r="K1254">
        <v>0.06729841649628475</v>
      </c>
      <c r="L1254">
        <v>1.138576967350326</v>
      </c>
      <c r="M1254">
        <v>62.41</v>
      </c>
      <c r="N1254">
        <v>33.78</v>
      </c>
    </row>
    <row r="1255" spans="1:14">
      <c r="A1255" s="1" t="s">
        <v>1267</v>
      </c>
      <c r="B1255">
        <f>HYPERLINK("https://www.suredividend.com/sure-analysis-research-database/","Oxford Industries, Inc.")</f>
        <v>0</v>
      </c>
      <c r="C1255" t="s">
        <v>1927</v>
      </c>
      <c r="D1255">
        <v>102.53</v>
      </c>
      <c r="E1255">
        <v>0.020013979643452</v>
      </c>
      <c r="F1255">
        <v>0.3095238095238098</v>
      </c>
      <c r="G1255">
        <v>0.1529216246740956</v>
      </c>
      <c r="H1255">
        <v>2.052033332843137</v>
      </c>
      <c r="I1255">
        <v>1616.747381</v>
      </c>
      <c r="J1255">
        <v>10.16221467120067</v>
      </c>
      <c r="K1255">
        <v>0.2126459412272681</v>
      </c>
      <c r="L1255">
        <v>1.079378883304416</v>
      </c>
      <c r="M1255">
        <v>118.77</v>
      </c>
      <c r="N1255">
        <v>74.8</v>
      </c>
    </row>
    <row r="1256" spans="1:14">
      <c r="A1256" s="1" t="s">
        <v>1268</v>
      </c>
      <c r="B1256">
        <f>HYPERLINK("https://www.suredividend.com/sure-analysis-research-database/","Oyster Point Pharma Inc")</f>
        <v>0</v>
      </c>
      <c r="C1256" t="s">
        <v>1922</v>
      </c>
      <c r="D1256">
        <v>11.17</v>
      </c>
      <c r="E1256">
        <v>0</v>
      </c>
      <c r="F1256" t="s">
        <v>1921</v>
      </c>
      <c r="G1256" t="s">
        <v>1921</v>
      </c>
      <c r="H1256">
        <v>0</v>
      </c>
      <c r="I1256">
        <v>0</v>
      </c>
      <c r="J1256">
        <v>0</v>
      </c>
      <c r="K1256" t="s">
        <v>1921</v>
      </c>
    </row>
    <row r="1257" spans="1:14">
      <c r="A1257" s="1" t="s">
        <v>1269</v>
      </c>
      <c r="B1257">
        <f>HYPERLINK("https://www.suredividend.com/sure-analysis-research-database/","Pacific Biosciences of California Inc")</f>
        <v>0</v>
      </c>
      <c r="C1257" t="s">
        <v>1922</v>
      </c>
      <c r="D1257">
        <v>9.460000000000001</v>
      </c>
      <c r="E1257">
        <v>0</v>
      </c>
      <c r="F1257" t="s">
        <v>1921</v>
      </c>
      <c r="G1257" t="s">
        <v>1921</v>
      </c>
      <c r="H1257">
        <v>0</v>
      </c>
      <c r="I1257">
        <v>2138.993742</v>
      </c>
      <c r="J1257" t="s">
        <v>1921</v>
      </c>
      <c r="K1257">
        <v>-0</v>
      </c>
      <c r="L1257">
        <v>2.837701554547755</v>
      </c>
      <c r="M1257">
        <v>15.62</v>
      </c>
      <c r="N1257">
        <v>3.85</v>
      </c>
    </row>
    <row r="1258" spans="1:14">
      <c r="A1258" s="1" t="s">
        <v>1270</v>
      </c>
      <c r="B1258">
        <f>HYPERLINK("https://www.suredividend.com/sure-analysis-research-database/","Ranpak Holdings Corp")</f>
        <v>0</v>
      </c>
      <c r="C1258" t="s">
        <v>1927</v>
      </c>
      <c r="D1258">
        <v>6.23</v>
      </c>
      <c r="E1258">
        <v>0</v>
      </c>
      <c r="F1258" t="s">
        <v>1921</v>
      </c>
      <c r="G1258" t="s">
        <v>1921</v>
      </c>
      <c r="H1258">
        <v>0</v>
      </c>
      <c r="I1258">
        <v>492.705612</v>
      </c>
      <c r="J1258">
        <v>0</v>
      </c>
      <c r="K1258" t="s">
        <v>1921</v>
      </c>
      <c r="L1258">
        <v>1.512803007380338</v>
      </c>
      <c r="M1258">
        <v>35.7</v>
      </c>
      <c r="N1258">
        <v>2.9</v>
      </c>
    </row>
    <row r="1259" spans="1:14">
      <c r="A1259" s="1" t="s">
        <v>1271</v>
      </c>
      <c r="B1259">
        <f>HYPERLINK("https://www.suredividend.com/sure-analysis-research-database/","Phibro Animal Health Corp.")</f>
        <v>0</v>
      </c>
      <c r="C1259" t="s">
        <v>1922</v>
      </c>
      <c r="D1259">
        <v>13.68</v>
      </c>
      <c r="E1259">
        <v>0.034826723906655</v>
      </c>
      <c r="F1259">
        <v>0</v>
      </c>
      <c r="G1259">
        <v>0.03713728933664817</v>
      </c>
      <c r="H1259">
        <v>0.4764295830430501</v>
      </c>
      <c r="I1259">
        <v>278.218012</v>
      </c>
      <c r="J1259">
        <v>5.98356909736112</v>
      </c>
      <c r="K1259">
        <v>0.4142865939504783</v>
      </c>
      <c r="L1259">
        <v>0.6125943088301511</v>
      </c>
      <c r="M1259">
        <v>21.81</v>
      </c>
      <c r="N1259">
        <v>11.75</v>
      </c>
    </row>
    <row r="1260" spans="1:14">
      <c r="A1260" s="1" t="s">
        <v>1272</v>
      </c>
      <c r="B1260">
        <f>HYPERLINK("https://www.suredividend.com/sure-analysis-research-database/","Par Technology Corp.")</f>
        <v>0</v>
      </c>
      <c r="C1260" t="s">
        <v>1920</v>
      </c>
      <c r="D1260">
        <v>26.3</v>
      </c>
      <c r="E1260">
        <v>0</v>
      </c>
      <c r="F1260" t="s">
        <v>1921</v>
      </c>
      <c r="G1260" t="s">
        <v>1921</v>
      </c>
      <c r="H1260">
        <v>0</v>
      </c>
      <c r="I1260">
        <v>717.721188</v>
      </c>
      <c r="J1260" t="s">
        <v>1921</v>
      </c>
      <c r="K1260">
        <v>-0</v>
      </c>
      <c r="L1260">
        <v>1.603985991893023</v>
      </c>
      <c r="M1260">
        <v>50.35</v>
      </c>
      <c r="N1260">
        <v>20.37</v>
      </c>
    </row>
    <row r="1261" spans="1:14">
      <c r="A1261" s="1" t="s">
        <v>1273</v>
      </c>
      <c r="B1261">
        <f>HYPERLINK("https://www.suredividend.com/sure-analysis-research-database/","Par Pacific Holdings Inc")</f>
        <v>0</v>
      </c>
      <c r="C1261" t="s">
        <v>1926</v>
      </c>
      <c r="D1261">
        <v>22.49</v>
      </c>
      <c r="E1261">
        <v>0</v>
      </c>
      <c r="F1261" t="s">
        <v>1921</v>
      </c>
      <c r="G1261" t="s">
        <v>1921</v>
      </c>
      <c r="H1261">
        <v>0</v>
      </c>
      <c r="I1261">
        <v>1356.544848</v>
      </c>
      <c r="J1261">
        <v>0</v>
      </c>
      <c r="K1261" t="s">
        <v>1921</v>
      </c>
      <c r="L1261">
        <v>0.973163598796372</v>
      </c>
      <c r="M1261">
        <v>25.38</v>
      </c>
      <c r="N1261">
        <v>11.66</v>
      </c>
    </row>
    <row r="1262" spans="1:14">
      <c r="A1262" s="1" t="s">
        <v>1274</v>
      </c>
      <c r="B1262">
        <f>HYPERLINK("https://www.suredividend.com/sure-analysis-research-database/","Passage Bio Inc")</f>
        <v>0</v>
      </c>
      <c r="C1262" t="s">
        <v>1922</v>
      </c>
      <c r="D1262">
        <v>1.84</v>
      </c>
      <c r="E1262">
        <v>0</v>
      </c>
      <c r="F1262" t="s">
        <v>1921</v>
      </c>
      <c r="G1262" t="s">
        <v>1921</v>
      </c>
      <c r="H1262">
        <v>0</v>
      </c>
      <c r="I1262">
        <v>100.378004</v>
      </c>
      <c r="J1262">
        <v>0</v>
      </c>
      <c r="K1262" t="s">
        <v>1921</v>
      </c>
      <c r="L1262">
        <v>1.598944176666686</v>
      </c>
      <c r="M1262">
        <v>5.81</v>
      </c>
      <c r="N1262">
        <v>1.04</v>
      </c>
    </row>
    <row r="1263" spans="1:14">
      <c r="A1263" s="1" t="s">
        <v>1275</v>
      </c>
      <c r="B1263">
        <f>HYPERLINK("https://www.suredividend.com/sure-analysis-research-database/","Patrick Industries, Inc.")</f>
        <v>0</v>
      </c>
      <c r="C1263" t="s">
        <v>1924</v>
      </c>
      <c r="D1263">
        <v>64.56999999999999</v>
      </c>
      <c r="E1263">
        <v>0.02221687939268</v>
      </c>
      <c r="F1263" t="s">
        <v>1921</v>
      </c>
      <c r="G1263" t="s">
        <v>1921</v>
      </c>
      <c r="H1263">
        <v>1.434543902385401</v>
      </c>
      <c r="I1263">
        <v>1463.394786</v>
      </c>
      <c r="J1263">
        <v>4.192675787454589</v>
      </c>
      <c r="K1263">
        <v>0.09969033373074364</v>
      </c>
      <c r="L1263">
        <v>1.242176833095687</v>
      </c>
      <c r="M1263">
        <v>79.16</v>
      </c>
      <c r="N1263">
        <v>41.75</v>
      </c>
    </row>
    <row r="1264" spans="1:14">
      <c r="A1264" s="1" t="s">
        <v>1276</v>
      </c>
      <c r="B1264">
        <f>HYPERLINK("https://www.suredividend.com/sure-analysis-research-database/","PAVmed Inc")</f>
        <v>0</v>
      </c>
      <c r="C1264" t="s">
        <v>1922</v>
      </c>
      <c r="D1264">
        <v>0.5619000000000001</v>
      </c>
      <c r="E1264">
        <v>0</v>
      </c>
      <c r="F1264" t="s">
        <v>1921</v>
      </c>
      <c r="G1264" t="s">
        <v>1921</v>
      </c>
      <c r="H1264">
        <v>0</v>
      </c>
      <c r="I1264">
        <v>51.132382</v>
      </c>
      <c r="J1264">
        <v>0</v>
      </c>
      <c r="K1264" t="s">
        <v>1921</v>
      </c>
      <c r="L1264">
        <v>1.489892654992022</v>
      </c>
      <c r="M1264">
        <v>2.34</v>
      </c>
      <c r="N1264">
        <v>0.401</v>
      </c>
    </row>
    <row r="1265" spans="1:14">
      <c r="A1265" s="1" t="s">
        <v>1277</v>
      </c>
      <c r="B1265">
        <f>HYPERLINK("https://www.suredividend.com/sure-analysis-research-database/","Paya Holdings Inc")</f>
        <v>0</v>
      </c>
      <c r="C1265" t="s">
        <v>1921</v>
      </c>
      <c r="D1265">
        <v>9.69</v>
      </c>
      <c r="E1265">
        <v>0</v>
      </c>
      <c r="F1265" t="s">
        <v>1921</v>
      </c>
      <c r="G1265" t="s">
        <v>1921</v>
      </c>
      <c r="H1265">
        <v>0</v>
      </c>
      <c r="I1265">
        <v>1281.158776</v>
      </c>
      <c r="J1265">
        <v>0</v>
      </c>
      <c r="K1265" t="s">
        <v>1921</v>
      </c>
      <c r="L1265">
        <v>1.513767752353831</v>
      </c>
      <c r="M1265">
        <v>9.720000000000001</v>
      </c>
      <c r="N1265">
        <v>4.51</v>
      </c>
    </row>
    <row r="1266" spans="1:14">
      <c r="A1266" s="1" t="s">
        <v>1278</v>
      </c>
      <c r="B1266">
        <f>HYPERLINK("https://www.suredividend.com/sure-analysis-research-database/","PBF Energy Inc")</f>
        <v>0</v>
      </c>
      <c r="C1266" t="s">
        <v>1926</v>
      </c>
      <c r="D1266">
        <v>37.69</v>
      </c>
      <c r="E1266">
        <v>0.005283711990934001</v>
      </c>
      <c r="F1266" t="s">
        <v>1921</v>
      </c>
      <c r="G1266" t="s">
        <v>1921</v>
      </c>
      <c r="H1266">
        <v>0.199143104938328</v>
      </c>
      <c r="I1266">
        <v>4617.77228</v>
      </c>
      <c r="J1266">
        <v>1.920630653258744</v>
      </c>
      <c r="K1266">
        <v>0.01033435936369113</v>
      </c>
      <c r="L1266">
        <v>0.744835386419842</v>
      </c>
      <c r="M1266">
        <v>48.88</v>
      </c>
      <c r="N1266">
        <v>14.62</v>
      </c>
    </row>
    <row r="1267" spans="1:14">
      <c r="A1267" s="1" t="s">
        <v>1279</v>
      </c>
      <c r="B1267">
        <f>HYPERLINK("https://www.suredividend.com/sure-analysis-research-database/","Pioneer Bancorp Inc")</f>
        <v>0</v>
      </c>
      <c r="C1267" t="s">
        <v>1923</v>
      </c>
      <c r="D1267">
        <v>11.34</v>
      </c>
      <c r="E1267">
        <v>0</v>
      </c>
      <c r="F1267" t="s">
        <v>1921</v>
      </c>
      <c r="G1267" t="s">
        <v>1921</v>
      </c>
      <c r="H1267">
        <v>0</v>
      </c>
      <c r="I1267">
        <v>294.58688</v>
      </c>
      <c r="J1267">
        <v>0</v>
      </c>
      <c r="K1267" t="s">
        <v>1921</v>
      </c>
      <c r="L1267">
        <v>0.328124279019667</v>
      </c>
      <c r="M1267">
        <v>11.97</v>
      </c>
      <c r="N1267">
        <v>9.130000000000001</v>
      </c>
    </row>
    <row r="1268" spans="1:14">
      <c r="A1268" s="1" t="s">
        <v>1280</v>
      </c>
      <c r="B1268">
        <f>HYPERLINK("https://www.suredividend.com/sure-analysis-research-database/","Prestige Consumer Healthcare Inc")</f>
        <v>0</v>
      </c>
      <c r="C1268" t="s">
        <v>1922</v>
      </c>
      <c r="D1268">
        <v>66.23</v>
      </c>
      <c r="E1268">
        <v>0</v>
      </c>
      <c r="F1268" t="s">
        <v>1921</v>
      </c>
      <c r="G1268" t="s">
        <v>1921</v>
      </c>
      <c r="H1268">
        <v>0</v>
      </c>
      <c r="I1268">
        <v>3280.103801</v>
      </c>
      <c r="J1268">
        <v>15.72467257742238</v>
      </c>
      <c r="K1268">
        <v>0</v>
      </c>
      <c r="L1268">
        <v>0.473997689668492</v>
      </c>
      <c r="M1268">
        <v>67.13</v>
      </c>
      <c r="N1268">
        <v>48.51</v>
      </c>
    </row>
    <row r="1269" spans="1:14">
      <c r="A1269" s="1" t="s">
        <v>1281</v>
      </c>
      <c r="B1269">
        <f>HYPERLINK("https://www.suredividend.com/sure-analysis-research-database/","Pitney Bowes, Inc.")</f>
        <v>0</v>
      </c>
      <c r="C1269" t="s">
        <v>1924</v>
      </c>
      <c r="D1269">
        <v>4.66</v>
      </c>
      <c r="E1269">
        <v>0.042024424199071</v>
      </c>
      <c r="F1269">
        <v>0</v>
      </c>
      <c r="G1269">
        <v>-0.2322961007252451</v>
      </c>
      <c r="H1269">
        <v>0.195833816767671</v>
      </c>
      <c r="I1269">
        <v>810.85871</v>
      </c>
      <c r="J1269">
        <v>25.41000626429758</v>
      </c>
      <c r="K1269">
        <v>1.100189981840848</v>
      </c>
      <c r="L1269">
        <v>1.29108075100608</v>
      </c>
      <c r="M1269">
        <v>6.43</v>
      </c>
      <c r="N1269">
        <v>2.27</v>
      </c>
    </row>
    <row r="1270" spans="1:14">
      <c r="A1270" s="1" t="s">
        <v>1282</v>
      </c>
      <c r="B1270">
        <f>HYPERLINK("https://www.suredividend.com/sure-analysis-research-database/","Puma Biotechnology Inc")</f>
        <v>0</v>
      </c>
      <c r="C1270" t="s">
        <v>1922</v>
      </c>
      <c r="D1270">
        <v>4.61</v>
      </c>
      <c r="E1270">
        <v>0</v>
      </c>
      <c r="F1270" t="s">
        <v>1921</v>
      </c>
      <c r="G1270" t="s">
        <v>1921</v>
      </c>
      <c r="H1270">
        <v>0</v>
      </c>
      <c r="I1270">
        <v>210.401022</v>
      </c>
      <c r="J1270">
        <v>21.61950496814632</v>
      </c>
      <c r="K1270">
        <v>0</v>
      </c>
      <c r="L1270">
        <v>1.174539856581996</v>
      </c>
      <c r="M1270">
        <v>5.16</v>
      </c>
      <c r="N1270">
        <v>1.6</v>
      </c>
    </row>
    <row r="1271" spans="1:14">
      <c r="A1271" s="1" t="s">
        <v>1283</v>
      </c>
      <c r="B1271">
        <f>HYPERLINK("https://www.suredividend.com/sure-analysis-research-database/","PotlatchDeltic Corp")</f>
        <v>0</v>
      </c>
      <c r="C1271" t="s">
        <v>1929</v>
      </c>
      <c r="D1271">
        <v>44.36</v>
      </c>
      <c r="E1271">
        <v>0.038499030711739</v>
      </c>
      <c r="F1271">
        <v>1.159090909090909</v>
      </c>
      <c r="G1271">
        <v>-0.0191235533232571</v>
      </c>
      <c r="H1271">
        <v>1.707817002372763</v>
      </c>
      <c r="I1271">
        <v>3583.249976</v>
      </c>
      <c r="J1271">
        <v>9.704419023992591</v>
      </c>
      <c r="K1271">
        <v>0.3228387528114864</v>
      </c>
      <c r="L1271">
        <v>0.90910839045791</v>
      </c>
      <c r="M1271">
        <v>56.57</v>
      </c>
      <c r="N1271">
        <v>37.9</v>
      </c>
    </row>
    <row r="1272" spans="1:14">
      <c r="A1272" s="1" t="s">
        <v>1284</v>
      </c>
      <c r="B1272">
        <f>HYPERLINK("https://www.suredividend.com/sure-analysis-research-database/","Pacira BioSciences Inc")</f>
        <v>0</v>
      </c>
      <c r="C1272" t="s">
        <v>1922</v>
      </c>
      <c r="D1272">
        <v>36.82</v>
      </c>
      <c r="E1272">
        <v>0</v>
      </c>
      <c r="F1272" t="s">
        <v>1921</v>
      </c>
      <c r="G1272" t="s">
        <v>1921</v>
      </c>
      <c r="H1272">
        <v>0</v>
      </c>
      <c r="I1272">
        <v>1689.37848</v>
      </c>
      <c r="J1272">
        <v>80.90505627891385</v>
      </c>
      <c r="K1272">
        <v>0</v>
      </c>
      <c r="L1272">
        <v>0.7526130680508041</v>
      </c>
      <c r="M1272">
        <v>82.16</v>
      </c>
      <c r="N1272">
        <v>36.52</v>
      </c>
    </row>
    <row r="1273" spans="1:14">
      <c r="A1273" s="1" t="s">
        <v>1285</v>
      </c>
      <c r="B1273">
        <f>HYPERLINK("https://www.suredividend.com/sure-analysis-research-database/","PCSB Financial Corp")</f>
        <v>0</v>
      </c>
      <c r="C1273" t="s">
        <v>1923</v>
      </c>
      <c r="D1273">
        <v>19.04</v>
      </c>
      <c r="E1273">
        <v>0</v>
      </c>
      <c r="F1273" t="s">
        <v>1921</v>
      </c>
      <c r="G1273" t="s">
        <v>1921</v>
      </c>
      <c r="H1273">
        <v>0.269999999552965</v>
      </c>
      <c r="I1273">
        <v>0</v>
      </c>
      <c r="J1273">
        <v>0</v>
      </c>
      <c r="K1273" t="s">
        <v>1921</v>
      </c>
    </row>
    <row r="1274" spans="1:14">
      <c r="A1274" s="1" t="s">
        <v>1286</v>
      </c>
      <c r="B1274">
        <f>HYPERLINK("https://www.suredividend.com/sure-analysis-research-database/","PureCycle Technologies Inc")</f>
        <v>0</v>
      </c>
      <c r="C1274" t="s">
        <v>1921</v>
      </c>
      <c r="D1274">
        <v>6.65</v>
      </c>
      <c r="E1274">
        <v>0</v>
      </c>
      <c r="F1274" t="s">
        <v>1921</v>
      </c>
      <c r="G1274" t="s">
        <v>1921</v>
      </c>
      <c r="H1274">
        <v>0</v>
      </c>
      <c r="I1274">
        <v>1087.317886</v>
      </c>
      <c r="J1274">
        <v>0</v>
      </c>
      <c r="K1274" t="s">
        <v>1921</v>
      </c>
      <c r="L1274">
        <v>1.498397003952279</v>
      </c>
      <c r="M1274">
        <v>10.95</v>
      </c>
      <c r="N1274">
        <v>4.94</v>
      </c>
    </row>
    <row r="1275" spans="1:14">
      <c r="A1275" s="1" t="s">
        <v>1287</v>
      </c>
      <c r="B1275">
        <f>HYPERLINK("https://www.suredividend.com/sure-analysis-research-database/","Vaxcyte Inc")</f>
        <v>0</v>
      </c>
      <c r="C1275" t="s">
        <v>1921</v>
      </c>
      <c r="D1275">
        <v>45.92</v>
      </c>
      <c r="E1275">
        <v>0</v>
      </c>
      <c r="F1275" t="s">
        <v>1921</v>
      </c>
      <c r="G1275" t="s">
        <v>1921</v>
      </c>
      <c r="H1275">
        <v>0</v>
      </c>
      <c r="I1275">
        <v>3642.411595</v>
      </c>
      <c r="J1275">
        <v>0</v>
      </c>
      <c r="K1275" t="s">
        <v>1921</v>
      </c>
      <c r="L1275">
        <v>0.893479496436924</v>
      </c>
      <c r="M1275">
        <v>49.31</v>
      </c>
      <c r="N1275">
        <v>16.78</v>
      </c>
    </row>
    <row r="1276" spans="1:14">
      <c r="A1276" s="1" t="s">
        <v>1288</v>
      </c>
      <c r="B1276">
        <f>HYPERLINK("https://www.suredividend.com/sure-analysis-research-database/","Pure Cycle Corp.")</f>
        <v>0</v>
      </c>
      <c r="C1276" t="s">
        <v>1930</v>
      </c>
      <c r="D1276">
        <v>10.45</v>
      </c>
      <c r="E1276">
        <v>0</v>
      </c>
      <c r="F1276" t="s">
        <v>1921</v>
      </c>
      <c r="G1276" t="s">
        <v>1921</v>
      </c>
      <c r="H1276">
        <v>0</v>
      </c>
      <c r="I1276">
        <v>250.66044</v>
      </c>
      <c r="J1276">
        <v>0</v>
      </c>
      <c r="K1276" t="s">
        <v>1921</v>
      </c>
      <c r="L1276">
        <v>0.7687269194839</v>
      </c>
      <c r="M1276">
        <v>13.87</v>
      </c>
      <c r="N1276">
        <v>7.77</v>
      </c>
    </row>
    <row r="1277" spans="1:14">
      <c r="A1277" s="1" t="s">
        <v>1289</v>
      </c>
      <c r="B1277">
        <f>HYPERLINK("https://www.suredividend.com/sure-analysis-research-database/","Pagerduty Inc")</f>
        <v>0</v>
      </c>
      <c r="C1277" t="s">
        <v>1920</v>
      </c>
      <c r="D1277">
        <v>24.64</v>
      </c>
      <c r="E1277">
        <v>0</v>
      </c>
      <c r="F1277" t="s">
        <v>1921</v>
      </c>
      <c r="G1277" t="s">
        <v>1921</v>
      </c>
      <c r="H1277">
        <v>0</v>
      </c>
      <c r="I1277">
        <v>2217.00519</v>
      </c>
      <c r="J1277" t="s">
        <v>1921</v>
      </c>
      <c r="K1277">
        <v>-0</v>
      </c>
      <c r="L1277">
        <v>1.978791323036836</v>
      </c>
      <c r="M1277">
        <v>38.75</v>
      </c>
      <c r="N1277">
        <v>19.51</v>
      </c>
    </row>
    <row r="1278" spans="1:14">
      <c r="A1278" s="1" t="s">
        <v>1290</v>
      </c>
      <c r="B1278">
        <f>HYPERLINK("https://www.suredividend.com/sure-analysis-research-database/","PDC Energy Inc")</f>
        <v>0</v>
      </c>
      <c r="C1278" t="s">
        <v>1926</v>
      </c>
      <c r="D1278">
        <v>61.89</v>
      </c>
      <c r="E1278">
        <v>0.020782566452883</v>
      </c>
      <c r="F1278" t="s">
        <v>1921</v>
      </c>
      <c r="G1278" t="s">
        <v>1921</v>
      </c>
      <c r="H1278">
        <v>1.286233037768937</v>
      </c>
      <c r="I1278">
        <v>5702.833193</v>
      </c>
      <c r="J1278">
        <v>2.999203866666947</v>
      </c>
      <c r="K1278">
        <v>0.06636909379612678</v>
      </c>
      <c r="L1278">
        <v>0.9371491054814981</v>
      </c>
      <c r="M1278">
        <v>87.84999999999999</v>
      </c>
      <c r="N1278">
        <v>50</v>
      </c>
    </row>
    <row r="1279" spans="1:14">
      <c r="A1279" s="1" t="s">
        <v>1291</v>
      </c>
      <c r="B1279">
        <f>HYPERLINK("https://www.suredividend.com/sure-analysis-PDCO/","Patterson Companies Inc.")</f>
        <v>0</v>
      </c>
      <c r="C1279" t="s">
        <v>1922</v>
      </c>
      <c r="D1279">
        <v>28.26</v>
      </c>
      <c r="E1279">
        <v>0.03680113234253361</v>
      </c>
      <c r="F1279">
        <v>0</v>
      </c>
      <c r="G1279">
        <v>0</v>
      </c>
      <c r="H1279">
        <v>1.026056031561077</v>
      </c>
      <c r="I1279">
        <v>2743.14168</v>
      </c>
      <c r="J1279">
        <v>13.74684500393391</v>
      </c>
      <c r="K1279">
        <v>0.5054463209660478</v>
      </c>
      <c r="L1279">
        <v>0.7174515185124231</v>
      </c>
      <c r="M1279">
        <v>34.39</v>
      </c>
      <c r="N1279">
        <v>23.64</v>
      </c>
    </row>
    <row r="1280" spans="1:14">
      <c r="A1280" s="1" t="s">
        <v>1292</v>
      </c>
      <c r="B1280">
        <f>HYPERLINK("https://www.suredividend.com/sure-analysis-research-database/","PDF Solutions Inc.")</f>
        <v>0</v>
      </c>
      <c r="C1280" t="s">
        <v>1920</v>
      </c>
      <c r="D1280">
        <v>29.24</v>
      </c>
      <c r="E1280">
        <v>0</v>
      </c>
      <c r="F1280" t="s">
        <v>1921</v>
      </c>
      <c r="G1280" t="s">
        <v>1921</v>
      </c>
      <c r="H1280">
        <v>0</v>
      </c>
      <c r="I1280">
        <v>1093.076785</v>
      </c>
      <c r="J1280" t="s">
        <v>1921</v>
      </c>
      <c r="K1280">
        <v>-0</v>
      </c>
      <c r="L1280">
        <v>1.324682156632524</v>
      </c>
      <c r="M1280">
        <v>32.56</v>
      </c>
      <c r="N1280">
        <v>19.34</v>
      </c>
    </row>
    <row r="1281" spans="1:14">
      <c r="A1281" s="1" t="s">
        <v>1293</v>
      </c>
      <c r="B1281">
        <f>HYPERLINK("https://www.suredividend.com/sure-analysis-research-database/","PDL Biopharma Inc")</f>
        <v>0</v>
      </c>
      <c r="C1281" t="s">
        <v>1922</v>
      </c>
      <c r="D1281">
        <v>2.47</v>
      </c>
      <c r="E1281">
        <v>0</v>
      </c>
      <c r="F1281" t="s">
        <v>1921</v>
      </c>
      <c r="G1281" t="s">
        <v>1921</v>
      </c>
      <c r="H1281">
        <v>0.07587900012731501</v>
      </c>
      <c r="I1281">
        <v>0</v>
      </c>
      <c r="J1281">
        <v>0</v>
      </c>
      <c r="K1281" t="s">
        <v>1921</v>
      </c>
    </row>
    <row r="1282" spans="1:14">
      <c r="A1282" s="1" t="s">
        <v>1294</v>
      </c>
      <c r="B1282">
        <f>HYPERLINK("https://www.suredividend.com/sure-analysis-PDM/","Piedmont Office Realty Trust Inc")</f>
        <v>0</v>
      </c>
      <c r="C1282" t="s">
        <v>1929</v>
      </c>
      <c r="D1282">
        <v>9.16</v>
      </c>
      <c r="E1282">
        <v>0.09170305676855894</v>
      </c>
      <c r="F1282">
        <v>0</v>
      </c>
      <c r="G1282">
        <v>0</v>
      </c>
      <c r="H1282">
        <v>0.81727588068902</v>
      </c>
      <c r="I1282">
        <v>1130.30169</v>
      </c>
      <c r="J1282">
        <v>28.60726607678874</v>
      </c>
      <c r="K1282">
        <v>2.549207363346912</v>
      </c>
      <c r="L1282">
        <v>0.814566592658697</v>
      </c>
      <c r="M1282">
        <v>18.3</v>
      </c>
      <c r="N1282">
        <v>8.720000000000001</v>
      </c>
    </row>
    <row r="1283" spans="1:14">
      <c r="A1283" s="1" t="s">
        <v>1295</v>
      </c>
      <c r="B1283">
        <f>HYPERLINK("https://www.suredividend.com/sure-analysis-research-database/","Pebblebrook Hotel Trust")</f>
        <v>0</v>
      </c>
      <c r="C1283" t="s">
        <v>1929</v>
      </c>
      <c r="D1283">
        <v>13.25</v>
      </c>
      <c r="E1283">
        <v>0.00301571146012</v>
      </c>
      <c r="F1283">
        <v>0</v>
      </c>
      <c r="G1283">
        <v>-0.5168930551573858</v>
      </c>
      <c r="H1283">
        <v>0.039958176846594</v>
      </c>
      <c r="I1283">
        <v>1742.009949</v>
      </c>
      <c r="J1283" t="s">
        <v>1921</v>
      </c>
      <c r="K1283" t="s">
        <v>1921</v>
      </c>
      <c r="L1283">
        <v>1.261995728675733</v>
      </c>
      <c r="M1283">
        <v>26.09</v>
      </c>
      <c r="N1283">
        <v>12.53</v>
      </c>
    </row>
    <row r="1284" spans="1:14">
      <c r="A1284" s="1" t="s">
        <v>1296</v>
      </c>
      <c r="B1284">
        <f>HYPERLINK("https://www.suredividend.com/sure-analysis-research-database/","Peoples Bancorp, Inc. (Marietta, OH)")</f>
        <v>0</v>
      </c>
      <c r="C1284" t="s">
        <v>1923</v>
      </c>
      <c r="D1284">
        <v>28.4</v>
      </c>
      <c r="E1284">
        <v>0.05181731116349701</v>
      </c>
      <c r="F1284" t="s">
        <v>1921</v>
      </c>
      <c r="G1284" t="s">
        <v>1921</v>
      </c>
      <c r="H1284">
        <v>1.471611637043316</v>
      </c>
      <c r="I1284">
        <v>802.910572</v>
      </c>
      <c r="J1284">
        <v>7.891555896720168</v>
      </c>
      <c r="K1284">
        <v>0.4065225516694243</v>
      </c>
      <c r="L1284">
        <v>0.506169135912804</v>
      </c>
      <c r="M1284">
        <v>32.93</v>
      </c>
      <c r="N1284">
        <v>24.98</v>
      </c>
    </row>
    <row r="1285" spans="1:14">
      <c r="A1285" s="1" t="s">
        <v>1297</v>
      </c>
      <c r="B1285">
        <f>HYPERLINK("https://www.suredividend.com/sure-analysis-PECO/","Phillips Edison &amp; Company Inc")</f>
        <v>0</v>
      </c>
      <c r="C1285" t="s">
        <v>1921</v>
      </c>
      <c r="D1285">
        <v>31.93</v>
      </c>
      <c r="E1285">
        <v>0.03507673034763546</v>
      </c>
      <c r="F1285" t="s">
        <v>1921</v>
      </c>
      <c r="G1285" t="s">
        <v>1921</v>
      </c>
      <c r="H1285">
        <v>1.07632351210122</v>
      </c>
      <c r="I1285">
        <v>3739.003</v>
      </c>
      <c r="J1285">
        <v>0</v>
      </c>
      <c r="K1285" t="s">
        <v>1921</v>
      </c>
      <c r="L1285">
        <v>0.7108300375277821</v>
      </c>
      <c r="M1285">
        <v>35.49</v>
      </c>
      <c r="N1285">
        <v>26.83</v>
      </c>
    </row>
    <row r="1286" spans="1:14">
      <c r="A1286" s="1" t="s">
        <v>1298</v>
      </c>
      <c r="B1286">
        <f>HYPERLINK("https://www.suredividend.com/sure-analysis-research-database/","PetIQ Inc")</f>
        <v>0</v>
      </c>
      <c r="C1286" t="s">
        <v>1922</v>
      </c>
      <c r="D1286">
        <v>10.62</v>
      </c>
      <c r="E1286">
        <v>0</v>
      </c>
      <c r="F1286" t="s">
        <v>1921</v>
      </c>
      <c r="G1286" t="s">
        <v>1921</v>
      </c>
      <c r="H1286">
        <v>0</v>
      </c>
      <c r="I1286">
        <v>307.69823</v>
      </c>
      <c r="J1286" t="s">
        <v>1921</v>
      </c>
      <c r="K1286">
        <v>-0</v>
      </c>
      <c r="L1286">
        <v>1.613341148594257</v>
      </c>
      <c r="M1286">
        <v>25.4</v>
      </c>
      <c r="N1286">
        <v>6.66</v>
      </c>
    </row>
    <row r="1287" spans="1:14">
      <c r="A1287" s="1" t="s">
        <v>1299</v>
      </c>
      <c r="B1287">
        <f>HYPERLINK("https://www.suredividend.com/sure-analysis-PETS/","Petmed Express, Inc.")</f>
        <v>0</v>
      </c>
      <c r="C1287" t="s">
        <v>1922</v>
      </c>
      <c r="D1287">
        <v>18.74</v>
      </c>
      <c r="E1287">
        <v>0.06403415154749199</v>
      </c>
      <c r="F1287">
        <v>0</v>
      </c>
      <c r="G1287">
        <v>0.03713728933664817</v>
      </c>
      <c r="H1287">
        <v>1.173566226466245</v>
      </c>
      <c r="I1287">
        <v>394.958187</v>
      </c>
      <c r="J1287">
        <v>25.19348006506346</v>
      </c>
      <c r="K1287">
        <v>1.521543143350506</v>
      </c>
      <c r="L1287">
        <v>0.71502451322005</v>
      </c>
      <c r="M1287">
        <v>28.25</v>
      </c>
      <c r="N1287">
        <v>17.08</v>
      </c>
    </row>
    <row r="1288" spans="1:14">
      <c r="A1288" s="1" t="s">
        <v>1300</v>
      </c>
      <c r="B1288">
        <f>HYPERLINK("https://www.suredividend.com/sure-analysis-research-database/","Preferred Bank (Los Angeles, CA)")</f>
        <v>0</v>
      </c>
      <c r="C1288" t="s">
        <v>1923</v>
      </c>
      <c r="D1288">
        <v>71.84</v>
      </c>
      <c r="E1288">
        <v>0.033021581410233</v>
      </c>
      <c r="F1288">
        <v>0.2790697674418605</v>
      </c>
      <c r="G1288">
        <v>0.2011244339814313</v>
      </c>
      <c r="H1288">
        <v>2.3722704085112</v>
      </c>
      <c r="I1288">
        <v>947.49776</v>
      </c>
      <c r="J1288">
        <v>0</v>
      </c>
      <c r="K1288" t="s">
        <v>1921</v>
      </c>
      <c r="L1288">
        <v>0.629253224523681</v>
      </c>
      <c r="M1288">
        <v>79.86</v>
      </c>
      <c r="N1288">
        <v>62.82</v>
      </c>
    </row>
    <row r="1289" spans="1:14">
      <c r="A1289" s="1" t="s">
        <v>1301</v>
      </c>
      <c r="B1289">
        <f>HYPERLINK("https://www.suredividend.com/sure-analysis-research-database/","Premier Financial Corp")</f>
        <v>0</v>
      </c>
      <c r="C1289" t="s">
        <v>1921</v>
      </c>
      <c r="D1289">
        <v>27.21</v>
      </c>
      <c r="E1289">
        <v>0.042955108454303</v>
      </c>
      <c r="F1289">
        <v>0</v>
      </c>
      <c r="G1289">
        <v>0</v>
      </c>
      <c r="H1289">
        <v>1.168808501041604</v>
      </c>
      <c r="I1289">
        <v>967.761254</v>
      </c>
      <c r="J1289">
        <v>9.475407349364559</v>
      </c>
      <c r="K1289">
        <v>0.4130065374705315</v>
      </c>
      <c r="L1289">
        <v>0.6542397719211851</v>
      </c>
      <c r="M1289">
        <v>31.51</v>
      </c>
      <c r="N1289">
        <v>23.59</v>
      </c>
    </row>
    <row r="1290" spans="1:14">
      <c r="A1290" s="1" t="s">
        <v>1302</v>
      </c>
      <c r="B1290">
        <f>HYPERLINK("https://www.suredividend.com/sure-analysis-research-database/","Performance Food Group Company")</f>
        <v>0</v>
      </c>
      <c r="C1290" t="s">
        <v>1928</v>
      </c>
      <c r="D1290">
        <v>59.11</v>
      </c>
      <c r="E1290">
        <v>0</v>
      </c>
      <c r="F1290" t="s">
        <v>1921</v>
      </c>
      <c r="G1290" t="s">
        <v>1921</v>
      </c>
      <c r="H1290">
        <v>0</v>
      </c>
      <c r="I1290">
        <v>9201.827069999999</v>
      </c>
      <c r="J1290">
        <v>45.21782343798526</v>
      </c>
      <c r="K1290">
        <v>0</v>
      </c>
      <c r="L1290">
        <v>1.238538767130197</v>
      </c>
      <c r="M1290">
        <v>62</v>
      </c>
      <c r="N1290">
        <v>38.23</v>
      </c>
    </row>
    <row r="1291" spans="1:14">
      <c r="A1291" s="1" t="s">
        <v>1303</v>
      </c>
      <c r="B1291">
        <f>HYPERLINK("https://www.suredividend.com/sure-analysis-research-database/","Peoples Financial Services Corp")</f>
        <v>0</v>
      </c>
      <c r="C1291" t="s">
        <v>1923</v>
      </c>
      <c r="D1291">
        <v>50.02</v>
      </c>
      <c r="E1291">
        <v>0.031235668684634</v>
      </c>
      <c r="F1291">
        <v>0.05263157894736836</v>
      </c>
      <c r="G1291">
        <v>0.04563955259127317</v>
      </c>
      <c r="H1291">
        <v>1.562408147605425</v>
      </c>
      <c r="I1291">
        <v>358.153104</v>
      </c>
      <c r="J1291">
        <v>0</v>
      </c>
      <c r="K1291" t="s">
        <v>1921</v>
      </c>
      <c r="L1291">
        <v>0.613702505390035</v>
      </c>
      <c r="M1291">
        <v>59.08</v>
      </c>
      <c r="N1291">
        <v>44.99</v>
      </c>
    </row>
    <row r="1292" spans="1:14">
      <c r="A1292" s="1" t="s">
        <v>1304</v>
      </c>
      <c r="B1292">
        <f>HYPERLINK("https://www.suredividend.com/sure-analysis-research-database/","Provident Financial Services Inc")</f>
        <v>0</v>
      </c>
      <c r="C1292" t="s">
        <v>1923</v>
      </c>
      <c r="D1292">
        <v>21.64</v>
      </c>
      <c r="E1292">
        <v>0.043664254623418</v>
      </c>
      <c r="F1292">
        <v>0</v>
      </c>
      <c r="G1292">
        <v>0.03713728933664817</v>
      </c>
      <c r="H1292">
        <v>0.9448944700507761</v>
      </c>
      <c r="I1292">
        <v>1628.951822</v>
      </c>
      <c r="J1292">
        <v>9.937723116230265</v>
      </c>
      <c r="K1292">
        <v>0.4334378302985211</v>
      </c>
      <c r="L1292">
        <v>0.595446199161168</v>
      </c>
      <c r="M1292">
        <v>25.33</v>
      </c>
      <c r="N1292">
        <v>18.97</v>
      </c>
    </row>
    <row r="1293" spans="1:14">
      <c r="A1293" s="1" t="s">
        <v>1305</v>
      </c>
      <c r="B1293">
        <f>HYPERLINK("https://www.suredividend.com/sure-analysis-research-database/","PennyMac Financial Services Inc.")</f>
        <v>0</v>
      </c>
      <c r="C1293" t="s">
        <v>1923</v>
      </c>
      <c r="D1293">
        <v>59.35</v>
      </c>
      <c r="E1293">
        <v>0.013354529077384</v>
      </c>
      <c r="F1293" t="s">
        <v>1921</v>
      </c>
      <c r="G1293" t="s">
        <v>1921</v>
      </c>
      <c r="H1293">
        <v>0.792591300742796</v>
      </c>
      <c r="I1293">
        <v>2972.331921</v>
      </c>
      <c r="J1293">
        <v>0</v>
      </c>
      <c r="K1293" t="s">
        <v>1921</v>
      </c>
      <c r="L1293">
        <v>1.160773469646503</v>
      </c>
      <c r="M1293">
        <v>69.14</v>
      </c>
      <c r="N1293">
        <v>38.11</v>
      </c>
    </row>
    <row r="1294" spans="1:14">
      <c r="A1294" s="1" t="s">
        <v>1306</v>
      </c>
      <c r="B1294">
        <f>HYPERLINK("https://www.suredividend.com/sure-analysis-research-database/","Peapack-Gladstone Financial Corp.")</f>
        <v>0</v>
      </c>
      <c r="C1294" t="s">
        <v>1923</v>
      </c>
      <c r="D1294">
        <v>35.63</v>
      </c>
      <c r="E1294">
        <v>0.005601435504524001</v>
      </c>
      <c r="F1294">
        <v>0</v>
      </c>
      <c r="G1294">
        <v>0</v>
      </c>
      <c r="H1294">
        <v>0.199579147026219</v>
      </c>
      <c r="I1294">
        <v>638.517071</v>
      </c>
      <c r="J1294">
        <v>9.318424312337644</v>
      </c>
      <c r="K1294">
        <v>0.05452982159186311</v>
      </c>
      <c r="L1294">
        <v>0.683551982780483</v>
      </c>
      <c r="M1294">
        <v>42.19</v>
      </c>
      <c r="N1294">
        <v>27.63</v>
      </c>
    </row>
    <row r="1295" spans="1:14">
      <c r="A1295" s="1" t="s">
        <v>1307</v>
      </c>
      <c r="B1295">
        <f>HYPERLINK("https://www.suredividend.com/sure-analysis-research-database/","Precigen Inc")</f>
        <v>0</v>
      </c>
      <c r="C1295" t="s">
        <v>1922</v>
      </c>
      <c r="D1295">
        <v>1.56</v>
      </c>
      <c r="E1295">
        <v>0</v>
      </c>
      <c r="F1295" t="s">
        <v>1921</v>
      </c>
      <c r="G1295" t="s">
        <v>1921</v>
      </c>
      <c r="H1295">
        <v>0</v>
      </c>
      <c r="I1295">
        <v>324.714033</v>
      </c>
      <c r="J1295">
        <v>12.75439069719942</v>
      </c>
      <c r="K1295">
        <v>0</v>
      </c>
      <c r="L1295">
        <v>1.733951686453343</v>
      </c>
      <c r="M1295">
        <v>3.35</v>
      </c>
      <c r="N1295">
        <v>1.12</v>
      </c>
    </row>
    <row r="1296" spans="1:14">
      <c r="A1296" s="1" t="s">
        <v>1308</v>
      </c>
      <c r="B1296">
        <f>HYPERLINK("https://www.suredividend.com/sure-analysis-research-database/","Progyny Inc")</f>
        <v>0</v>
      </c>
      <c r="C1296" t="s">
        <v>1922</v>
      </c>
      <c r="D1296">
        <v>29.78</v>
      </c>
      <c r="E1296">
        <v>0</v>
      </c>
      <c r="F1296" t="s">
        <v>1921</v>
      </c>
      <c r="G1296" t="s">
        <v>1921</v>
      </c>
      <c r="H1296">
        <v>0</v>
      </c>
      <c r="I1296">
        <v>2766.062947</v>
      </c>
      <c r="J1296">
        <v>65.81163328003807</v>
      </c>
      <c r="K1296">
        <v>0</v>
      </c>
      <c r="L1296">
        <v>1.504849956840063</v>
      </c>
      <c r="M1296">
        <v>53.1</v>
      </c>
      <c r="N1296">
        <v>25.67</v>
      </c>
    </row>
    <row r="1297" spans="1:14">
      <c r="A1297" s="1" t="s">
        <v>1309</v>
      </c>
      <c r="B1297">
        <f>HYPERLINK("https://www.suredividend.com/sure-analysis-PGRE/","Paramount Group Inc")</f>
        <v>0</v>
      </c>
      <c r="C1297" t="s">
        <v>1929</v>
      </c>
      <c r="D1297">
        <v>5.7</v>
      </c>
      <c r="E1297">
        <v>0.0543859649122807</v>
      </c>
      <c r="F1297">
        <v>0.107142857142857</v>
      </c>
      <c r="G1297">
        <v>-0.04970085067101349</v>
      </c>
      <c r="H1297">
        <v>0.304252020373342</v>
      </c>
      <c r="I1297">
        <v>1252.995939</v>
      </c>
      <c r="J1297">
        <v>477.1500149657273</v>
      </c>
      <c r="K1297">
        <v>25.56739667002874</v>
      </c>
      <c r="L1297">
        <v>1.054833488248247</v>
      </c>
      <c r="M1297">
        <v>11.05</v>
      </c>
      <c r="N1297">
        <v>5.41</v>
      </c>
    </row>
    <row r="1298" spans="1:14">
      <c r="A1298" s="1" t="s">
        <v>1310</v>
      </c>
      <c r="B1298">
        <f>HYPERLINK("https://www.suredividend.com/sure-analysis-research-database/","PGT Innovations Inc")</f>
        <v>0</v>
      </c>
      <c r="C1298" t="s">
        <v>1924</v>
      </c>
      <c r="D1298">
        <v>18.51</v>
      </c>
      <c r="E1298">
        <v>0</v>
      </c>
      <c r="F1298" t="s">
        <v>1921</v>
      </c>
      <c r="G1298" t="s">
        <v>1921</v>
      </c>
      <c r="H1298">
        <v>0</v>
      </c>
      <c r="I1298">
        <v>1110.557038</v>
      </c>
      <c r="J1298">
        <v>10.83787487352396</v>
      </c>
      <c r="K1298">
        <v>0</v>
      </c>
      <c r="L1298">
        <v>0.9760795410728531</v>
      </c>
      <c r="M1298">
        <v>23.81</v>
      </c>
      <c r="N1298">
        <v>15.42</v>
      </c>
    </row>
    <row r="1299" spans="1:14">
      <c r="A1299" s="1" t="s">
        <v>1311</v>
      </c>
      <c r="B1299">
        <f>HYPERLINK("https://www.suredividend.com/sure-analysis-research-database/","Phathom Pharmaceuticals Inc")</f>
        <v>0</v>
      </c>
      <c r="C1299" t="s">
        <v>1922</v>
      </c>
      <c r="D1299">
        <v>7.77</v>
      </c>
      <c r="E1299">
        <v>0</v>
      </c>
      <c r="F1299" t="s">
        <v>1921</v>
      </c>
      <c r="G1299" t="s">
        <v>1921</v>
      </c>
      <c r="H1299">
        <v>0</v>
      </c>
      <c r="I1299">
        <v>323.394043</v>
      </c>
      <c r="J1299">
        <v>0</v>
      </c>
      <c r="K1299" t="s">
        <v>1921</v>
      </c>
      <c r="L1299">
        <v>1.596187757994784</v>
      </c>
      <c r="M1299">
        <v>19.95</v>
      </c>
      <c r="N1299">
        <v>6.1</v>
      </c>
    </row>
    <row r="1300" spans="1:14">
      <c r="A1300" s="1" t="s">
        <v>1312</v>
      </c>
      <c r="B1300">
        <f>HYPERLINK("https://www.suredividend.com/sure-analysis-research-database/","Phreesia Inc")</f>
        <v>0</v>
      </c>
      <c r="C1300" t="s">
        <v>1922</v>
      </c>
      <c r="D1300">
        <v>33.27</v>
      </c>
      <c r="E1300">
        <v>0</v>
      </c>
      <c r="F1300" t="s">
        <v>1921</v>
      </c>
      <c r="G1300" t="s">
        <v>1921</v>
      </c>
      <c r="H1300">
        <v>0</v>
      </c>
      <c r="I1300">
        <v>1754.901174</v>
      </c>
      <c r="J1300">
        <v>0</v>
      </c>
      <c r="K1300" t="s">
        <v>1921</v>
      </c>
      <c r="L1300">
        <v>1.744017009528452</v>
      </c>
      <c r="M1300">
        <v>38.82</v>
      </c>
      <c r="N1300">
        <v>13.19</v>
      </c>
    </row>
    <row r="1301" spans="1:14">
      <c r="A1301" s="1" t="s">
        <v>1313</v>
      </c>
      <c r="B1301">
        <f>HYPERLINK("https://www.suredividend.com/sure-analysis-research-database/","Impinj Inc")</f>
        <v>0</v>
      </c>
      <c r="C1301" t="s">
        <v>1920</v>
      </c>
      <c r="D1301">
        <v>117.15</v>
      </c>
      <c r="E1301">
        <v>0</v>
      </c>
      <c r="F1301" t="s">
        <v>1921</v>
      </c>
      <c r="G1301" t="s">
        <v>1921</v>
      </c>
      <c r="H1301">
        <v>0</v>
      </c>
      <c r="I1301">
        <v>3035.942016</v>
      </c>
      <c r="J1301" t="s">
        <v>1921</v>
      </c>
      <c r="K1301">
        <v>-0</v>
      </c>
      <c r="L1301">
        <v>1.676554519494538</v>
      </c>
      <c r="M1301">
        <v>129.02</v>
      </c>
      <c r="N1301">
        <v>39.74</v>
      </c>
    </row>
    <row r="1302" spans="1:14">
      <c r="A1302" s="1" t="s">
        <v>1314</v>
      </c>
      <c r="B1302">
        <f>HYPERLINK("https://www.suredividend.com/sure-analysis-research-database/","Ping Identity Holding Corp")</f>
        <v>0</v>
      </c>
      <c r="C1302" t="s">
        <v>1920</v>
      </c>
      <c r="D1302">
        <v>28.5</v>
      </c>
      <c r="E1302">
        <v>0</v>
      </c>
      <c r="F1302" t="s">
        <v>1921</v>
      </c>
      <c r="G1302" t="s">
        <v>1921</v>
      </c>
      <c r="H1302">
        <v>0</v>
      </c>
      <c r="I1302">
        <v>2448.858054</v>
      </c>
      <c r="J1302">
        <v>0</v>
      </c>
      <c r="K1302" t="s">
        <v>1921</v>
      </c>
      <c r="L1302">
        <v>1.308924304268484</v>
      </c>
      <c r="M1302">
        <v>30.4</v>
      </c>
      <c r="N1302">
        <v>15.85</v>
      </c>
    </row>
    <row r="1303" spans="1:14">
      <c r="A1303" s="1" t="s">
        <v>1315</v>
      </c>
      <c r="B1303">
        <f>HYPERLINK("https://www.suredividend.com/sure-analysis-research-database/","Piper Sandler Co`s")</f>
        <v>0</v>
      </c>
      <c r="C1303" t="s">
        <v>1923</v>
      </c>
      <c r="D1303">
        <v>137.96</v>
      </c>
      <c r="E1303">
        <v>0.017278593774981</v>
      </c>
      <c r="F1303">
        <v>0</v>
      </c>
      <c r="G1303">
        <v>0.09856054330611785</v>
      </c>
      <c r="H1303">
        <v>2.383754797196421</v>
      </c>
      <c r="I1303">
        <v>2460.234472</v>
      </c>
      <c r="J1303">
        <v>0</v>
      </c>
      <c r="K1303" t="s">
        <v>1921</v>
      </c>
      <c r="L1303">
        <v>1.12996110030837</v>
      </c>
      <c r="M1303">
        <v>175.71</v>
      </c>
      <c r="N1303">
        <v>101.67</v>
      </c>
    </row>
    <row r="1304" spans="1:14">
      <c r="A1304" s="1" t="s">
        <v>1316</v>
      </c>
      <c r="B1304">
        <f>HYPERLINK("https://www.suredividend.com/sure-analysis-research-database/","PJT Partners Inc")</f>
        <v>0</v>
      </c>
      <c r="C1304" t="s">
        <v>1923</v>
      </c>
      <c r="D1304">
        <v>76.68000000000001</v>
      </c>
      <c r="E1304">
        <v>0.013000002206194</v>
      </c>
      <c r="F1304">
        <v>4</v>
      </c>
      <c r="G1304">
        <v>0.3797296614612149</v>
      </c>
      <c r="H1304">
        <v>0.9968401691709751</v>
      </c>
      <c r="I1304">
        <v>1872.049877</v>
      </c>
      <c r="J1304">
        <v>18.5616113793924</v>
      </c>
      <c r="K1304">
        <v>0.3011601719549774</v>
      </c>
      <c r="L1304">
        <v>0.682532595298869</v>
      </c>
      <c r="M1304">
        <v>81.41</v>
      </c>
      <c r="N1304">
        <v>54.13</v>
      </c>
    </row>
    <row r="1305" spans="1:14">
      <c r="A1305" s="1" t="s">
        <v>1317</v>
      </c>
      <c r="B1305">
        <f>HYPERLINK("https://www.suredividend.com/sure-analysis-research-database/","Park Aerospace Corp")</f>
        <v>0</v>
      </c>
      <c r="C1305" t="s">
        <v>1924</v>
      </c>
      <c r="D1305">
        <v>13.25</v>
      </c>
      <c r="E1305">
        <v>0.029996941884789</v>
      </c>
      <c r="F1305">
        <v>0</v>
      </c>
      <c r="G1305">
        <v>0</v>
      </c>
      <c r="H1305">
        <v>0.397459479973461</v>
      </c>
      <c r="I1305">
        <v>271.243533</v>
      </c>
      <c r="J1305">
        <v>36.20442238387614</v>
      </c>
      <c r="K1305">
        <v>1.087738040430928</v>
      </c>
      <c r="L1305">
        <v>0.525975682427915</v>
      </c>
      <c r="M1305">
        <v>13.93</v>
      </c>
      <c r="N1305">
        <v>10.08</v>
      </c>
    </row>
    <row r="1306" spans="1:14">
      <c r="A1306" s="1" t="s">
        <v>1318</v>
      </c>
      <c r="B1306">
        <f>HYPERLINK("https://www.suredividend.com/sure-analysis-research-database/","Park-Ohio Holdings Corp.")</f>
        <v>0</v>
      </c>
      <c r="C1306" t="s">
        <v>1924</v>
      </c>
      <c r="D1306">
        <v>12.99</v>
      </c>
      <c r="E1306">
        <v>0.038004109433471</v>
      </c>
      <c r="F1306" t="s">
        <v>1921</v>
      </c>
      <c r="G1306" t="s">
        <v>1921</v>
      </c>
      <c r="H1306">
        <v>0.493673381540794</v>
      </c>
      <c r="I1306">
        <v>166.559443</v>
      </c>
      <c r="J1306" t="s">
        <v>1921</v>
      </c>
      <c r="K1306" t="s">
        <v>1921</v>
      </c>
      <c r="L1306">
        <v>0.9329611641493041</v>
      </c>
      <c r="M1306">
        <v>22.69</v>
      </c>
      <c r="N1306">
        <v>9.09</v>
      </c>
    </row>
    <row r="1307" spans="1:14">
      <c r="A1307" s="1" t="s">
        <v>1319</v>
      </c>
      <c r="B1307">
        <f>HYPERLINK("https://www.suredividend.com/sure-analysis-research-database/","Photronics, Inc.")</f>
        <v>0</v>
      </c>
      <c r="C1307" t="s">
        <v>1920</v>
      </c>
      <c r="D1307">
        <v>17.91</v>
      </c>
      <c r="E1307">
        <v>0</v>
      </c>
      <c r="F1307" t="s">
        <v>1921</v>
      </c>
      <c r="G1307" t="s">
        <v>1921</v>
      </c>
      <c r="H1307">
        <v>0</v>
      </c>
      <c r="I1307">
        <v>1105.733186</v>
      </c>
      <c r="J1307">
        <v>9.308615374118162</v>
      </c>
      <c r="K1307">
        <v>0</v>
      </c>
      <c r="L1307">
        <v>1.549807366516634</v>
      </c>
      <c r="M1307">
        <v>25.81</v>
      </c>
      <c r="N1307">
        <v>13.87</v>
      </c>
    </row>
    <row r="1308" spans="1:14">
      <c r="A1308" s="1" t="s">
        <v>1320</v>
      </c>
      <c r="B1308">
        <f>HYPERLINK("https://www.suredividend.com/sure-analysis-research-database/","Dave &amp; Buster`s Entertainment Inc")</f>
        <v>0</v>
      </c>
      <c r="C1308" t="s">
        <v>1927</v>
      </c>
      <c r="D1308">
        <v>40.155</v>
      </c>
      <c r="E1308">
        <v>0</v>
      </c>
      <c r="F1308" t="s">
        <v>1921</v>
      </c>
      <c r="G1308" t="s">
        <v>1921</v>
      </c>
      <c r="H1308">
        <v>0</v>
      </c>
      <c r="I1308">
        <v>1939.096515</v>
      </c>
      <c r="J1308">
        <v>15.68340759171789</v>
      </c>
      <c r="K1308">
        <v>0</v>
      </c>
      <c r="L1308">
        <v>1.431412991444739</v>
      </c>
      <c r="M1308">
        <v>52.54</v>
      </c>
      <c r="N1308">
        <v>29.6</v>
      </c>
    </row>
    <row r="1309" spans="1:14">
      <c r="A1309" s="1" t="s">
        <v>1321</v>
      </c>
      <c r="B1309">
        <f>HYPERLINK("https://www.suredividend.com/sure-analysis-research-database/","PLBY Group Inc")</f>
        <v>0</v>
      </c>
      <c r="C1309" t="s">
        <v>1921</v>
      </c>
      <c r="D1309">
        <v>2.58</v>
      </c>
      <c r="E1309">
        <v>0</v>
      </c>
      <c r="F1309" t="s">
        <v>1921</v>
      </c>
      <c r="G1309" t="s">
        <v>1921</v>
      </c>
      <c r="H1309">
        <v>0</v>
      </c>
      <c r="I1309">
        <v>120.129454</v>
      </c>
      <c r="J1309">
        <v>0</v>
      </c>
      <c r="K1309" t="s">
        <v>1921</v>
      </c>
      <c r="L1309">
        <v>1.629342406583549</v>
      </c>
      <c r="M1309">
        <v>25.14</v>
      </c>
      <c r="N1309">
        <v>2.52</v>
      </c>
    </row>
    <row r="1310" spans="1:14">
      <c r="A1310" s="1" t="s">
        <v>1322</v>
      </c>
      <c r="B1310">
        <f>HYPERLINK("https://www.suredividend.com/sure-analysis-research-database/","Childrens Place Inc")</f>
        <v>0</v>
      </c>
      <c r="C1310" t="s">
        <v>1927</v>
      </c>
      <c r="D1310">
        <v>35.48</v>
      </c>
      <c r="E1310">
        <v>0</v>
      </c>
      <c r="F1310" t="s">
        <v>1921</v>
      </c>
      <c r="G1310" t="s">
        <v>1921</v>
      </c>
      <c r="H1310">
        <v>0</v>
      </c>
      <c r="I1310">
        <v>433.841918</v>
      </c>
      <c r="J1310">
        <v>4.908213712255773</v>
      </c>
      <c r="K1310">
        <v>0</v>
      </c>
      <c r="L1310">
        <v>1.452124146025516</v>
      </c>
      <c r="M1310">
        <v>76.5</v>
      </c>
      <c r="N1310">
        <v>29.2</v>
      </c>
    </row>
    <row r="1311" spans="1:14">
      <c r="A1311" s="1" t="s">
        <v>1323</v>
      </c>
      <c r="B1311">
        <f>HYPERLINK("https://www.suredividend.com/sure-analysis-research-database/","Polymet Mining Corp")</f>
        <v>0</v>
      </c>
      <c r="C1311" t="s">
        <v>1925</v>
      </c>
      <c r="D1311">
        <v>2.62</v>
      </c>
      <c r="E1311">
        <v>0</v>
      </c>
      <c r="F1311" t="s">
        <v>1921</v>
      </c>
      <c r="G1311" t="s">
        <v>1921</v>
      </c>
      <c r="H1311">
        <v>0</v>
      </c>
      <c r="I1311">
        <v>265.858461</v>
      </c>
      <c r="J1311">
        <v>0</v>
      </c>
      <c r="K1311" t="s">
        <v>1921</v>
      </c>
      <c r="L1311">
        <v>0.8198199382535311</v>
      </c>
      <c r="M1311">
        <v>4.79</v>
      </c>
      <c r="N1311">
        <v>2.41</v>
      </c>
    </row>
    <row r="1312" spans="1:14">
      <c r="A1312" s="1" t="s">
        <v>1324</v>
      </c>
      <c r="B1312">
        <f>HYPERLINK("https://www.suredividend.com/sure-analysis-research-database/","Palomar Holdings Inc")</f>
        <v>0</v>
      </c>
      <c r="C1312" t="s">
        <v>1923</v>
      </c>
      <c r="D1312">
        <v>48.37</v>
      </c>
      <c r="E1312">
        <v>0</v>
      </c>
      <c r="F1312" t="s">
        <v>1921</v>
      </c>
      <c r="G1312" t="s">
        <v>1921</v>
      </c>
      <c r="H1312">
        <v>0</v>
      </c>
      <c r="I1312">
        <v>1220.50744</v>
      </c>
      <c r="J1312">
        <v>0</v>
      </c>
      <c r="K1312" t="s">
        <v>1921</v>
      </c>
      <c r="L1312">
        <v>1.059782707939035</v>
      </c>
      <c r="M1312">
        <v>95.2</v>
      </c>
      <c r="N1312">
        <v>43.64</v>
      </c>
    </row>
    <row r="1313" spans="1:14">
      <c r="A1313" s="1" t="s">
        <v>1325</v>
      </c>
      <c r="B1313">
        <f>HYPERLINK("https://www.suredividend.com/sure-analysis-research-database/","Douglas Dynamics Inc")</f>
        <v>0</v>
      </c>
      <c r="C1313" t="s">
        <v>1927</v>
      </c>
      <c r="D1313">
        <v>37.71</v>
      </c>
      <c r="E1313">
        <v>0.030350157285363</v>
      </c>
      <c r="F1313">
        <v>0.01754385964912264</v>
      </c>
      <c r="G1313">
        <v>0.01819374512778538</v>
      </c>
      <c r="H1313">
        <v>1.144504431231039</v>
      </c>
      <c r="I1313">
        <v>863.060964</v>
      </c>
      <c r="J1313">
        <v>24.54806769526139</v>
      </c>
      <c r="K1313">
        <v>0.7480421119157118</v>
      </c>
      <c r="L1313">
        <v>0.825492545867875</v>
      </c>
      <c r="M1313">
        <v>39.23</v>
      </c>
      <c r="N1313">
        <v>27.3</v>
      </c>
    </row>
    <row r="1314" spans="1:14">
      <c r="A1314" s="1" t="s">
        <v>1326</v>
      </c>
      <c r="B1314">
        <f>HYPERLINK("https://www.suredividend.com/sure-analysis-research-database/","Preformed Line Products Co.")</f>
        <v>0</v>
      </c>
      <c r="C1314" t="s">
        <v>1924</v>
      </c>
      <c r="D1314">
        <v>81.59999999999999</v>
      </c>
      <c r="E1314">
        <v>0.009763957464201001</v>
      </c>
      <c r="F1314">
        <v>0</v>
      </c>
      <c r="G1314">
        <v>0</v>
      </c>
      <c r="H1314">
        <v>0.796738929078847</v>
      </c>
      <c r="I1314">
        <v>401.459026</v>
      </c>
      <c r="J1314">
        <v>8.567749228503745</v>
      </c>
      <c r="K1314">
        <v>0.08494018433676406</v>
      </c>
      <c r="L1314">
        <v>0.694252959807058</v>
      </c>
      <c r="M1314">
        <v>95.76000000000001</v>
      </c>
      <c r="N1314">
        <v>54.33</v>
      </c>
    </row>
    <row r="1315" spans="1:14">
      <c r="A1315" s="1" t="s">
        <v>1327</v>
      </c>
      <c r="B1315">
        <f>HYPERLINK("https://www.suredividend.com/sure-analysis-research-database/","Pliant Therapeutics Inc")</f>
        <v>0</v>
      </c>
      <c r="C1315" t="s">
        <v>1921</v>
      </c>
      <c r="D1315">
        <v>19.28</v>
      </c>
      <c r="E1315">
        <v>0</v>
      </c>
      <c r="F1315" t="s">
        <v>1921</v>
      </c>
      <c r="G1315" t="s">
        <v>1921</v>
      </c>
      <c r="H1315">
        <v>0</v>
      </c>
      <c r="I1315">
        <v>940.081598</v>
      </c>
      <c r="J1315">
        <v>0</v>
      </c>
      <c r="K1315" t="s">
        <v>1921</v>
      </c>
      <c r="L1315">
        <v>0.6637785959935041</v>
      </c>
      <c r="M1315">
        <v>26.25</v>
      </c>
      <c r="N1315">
        <v>3.97</v>
      </c>
    </row>
    <row r="1316" spans="1:14">
      <c r="A1316" s="1" t="s">
        <v>1328</v>
      </c>
      <c r="B1316">
        <f>HYPERLINK("https://www.suredividend.com/sure-analysis-research-database/","Pulse Biosciences Inc")</f>
        <v>0</v>
      </c>
      <c r="C1316" t="s">
        <v>1922</v>
      </c>
      <c r="D1316">
        <v>3.21</v>
      </c>
      <c r="E1316">
        <v>0</v>
      </c>
      <c r="F1316" t="s">
        <v>1921</v>
      </c>
      <c r="G1316" t="s">
        <v>1921</v>
      </c>
      <c r="H1316">
        <v>0</v>
      </c>
      <c r="I1316">
        <v>119.502522</v>
      </c>
      <c r="J1316">
        <v>0</v>
      </c>
      <c r="K1316" t="s">
        <v>1921</v>
      </c>
      <c r="L1316">
        <v>1.335443425203549</v>
      </c>
      <c r="M1316">
        <v>14.08</v>
      </c>
      <c r="N1316">
        <v>1.18</v>
      </c>
    </row>
    <row r="1317" spans="1:14">
      <c r="A1317" s="1" t="s">
        <v>1329</v>
      </c>
      <c r="B1317">
        <f>HYPERLINK("https://www.suredividend.com/sure-analysis-research-database/","ePlus Inc")</f>
        <v>0</v>
      </c>
      <c r="C1317" t="s">
        <v>1920</v>
      </c>
      <c r="D1317">
        <v>45.1</v>
      </c>
      <c r="E1317">
        <v>0</v>
      </c>
      <c r="F1317" t="s">
        <v>1921</v>
      </c>
      <c r="G1317" t="s">
        <v>1921</v>
      </c>
      <c r="H1317">
        <v>0</v>
      </c>
      <c r="I1317">
        <v>1213.492576</v>
      </c>
      <c r="J1317">
        <v>11.95830164372222</v>
      </c>
      <c r="K1317">
        <v>0</v>
      </c>
      <c r="L1317">
        <v>0.990045548249274</v>
      </c>
      <c r="M1317">
        <v>62.82</v>
      </c>
      <c r="N1317">
        <v>40.37</v>
      </c>
    </row>
    <row r="1318" spans="1:14">
      <c r="A1318" s="1" t="s">
        <v>1330</v>
      </c>
      <c r="B1318">
        <f>HYPERLINK("https://www.suredividend.com/sure-analysis-research-database/","Plexus Corp.")</f>
        <v>0</v>
      </c>
      <c r="C1318" t="s">
        <v>1920</v>
      </c>
      <c r="D1318">
        <v>110.05</v>
      </c>
      <c r="E1318">
        <v>0</v>
      </c>
      <c r="F1318" t="s">
        <v>1921</v>
      </c>
      <c r="G1318" t="s">
        <v>1921</v>
      </c>
      <c r="H1318">
        <v>0</v>
      </c>
      <c r="I1318">
        <v>3042.831217</v>
      </c>
      <c r="J1318">
        <v>22.01074352191431</v>
      </c>
      <c r="K1318">
        <v>0</v>
      </c>
      <c r="L1318">
        <v>0.84274836174456</v>
      </c>
      <c r="M1318">
        <v>112.2</v>
      </c>
      <c r="N1318">
        <v>72.88</v>
      </c>
    </row>
    <row r="1319" spans="1:14">
      <c r="A1319" s="1" t="s">
        <v>1331</v>
      </c>
      <c r="B1319">
        <f>HYPERLINK("https://www.suredividend.com/sure-analysis-PLYM/","Plymouth Industrial Reit Inc")</f>
        <v>0</v>
      </c>
      <c r="C1319" t="s">
        <v>1929</v>
      </c>
      <c r="D1319">
        <v>19.67</v>
      </c>
      <c r="E1319">
        <v>0.04473817996949669</v>
      </c>
      <c r="F1319">
        <v>0.04761904761904767</v>
      </c>
      <c r="G1319">
        <v>-0.101168503026812</v>
      </c>
      <c r="H1319">
        <v>0.864057442588501</v>
      </c>
      <c r="I1319">
        <v>842.849449</v>
      </c>
      <c r="J1319">
        <v>0</v>
      </c>
      <c r="K1319" t="s">
        <v>1921</v>
      </c>
      <c r="L1319">
        <v>0.8058140835891051</v>
      </c>
      <c r="M1319">
        <v>28.02</v>
      </c>
      <c r="N1319">
        <v>15.41</v>
      </c>
    </row>
    <row r="1320" spans="1:14">
      <c r="A1320" s="1" t="s">
        <v>1332</v>
      </c>
      <c r="B1320">
        <f>HYPERLINK("https://www.suredividend.com/sure-analysis-PMT/","Pennymac Mortgage Investment Trust")</f>
        <v>0</v>
      </c>
      <c r="C1320" t="s">
        <v>1929</v>
      </c>
      <c r="D1320">
        <v>13.51</v>
      </c>
      <c r="E1320">
        <v>0.1184307920059215</v>
      </c>
      <c r="F1320">
        <v>-0.148936170212766</v>
      </c>
      <c r="G1320">
        <v>-0.03173902863120104</v>
      </c>
      <c r="H1320">
        <v>1.714302995893906</v>
      </c>
      <c r="I1320">
        <v>1201.423643</v>
      </c>
      <c r="J1320" t="s">
        <v>1921</v>
      </c>
      <c r="K1320" t="s">
        <v>1921</v>
      </c>
      <c r="L1320">
        <v>0.9613389402405991</v>
      </c>
      <c r="M1320">
        <v>16.29</v>
      </c>
      <c r="N1320">
        <v>10.26</v>
      </c>
    </row>
    <row r="1321" spans="1:14">
      <c r="A1321" s="1" t="s">
        <v>1333</v>
      </c>
      <c r="B1321">
        <f>HYPERLINK("https://www.suredividend.com/sure-analysis-research-database/","PMV Pharmaceuticals Inc")</f>
        <v>0</v>
      </c>
      <c r="C1321" t="s">
        <v>1921</v>
      </c>
      <c r="D1321">
        <v>7.82</v>
      </c>
      <c r="E1321">
        <v>0</v>
      </c>
      <c r="F1321" t="s">
        <v>1921</v>
      </c>
      <c r="G1321" t="s">
        <v>1921</v>
      </c>
      <c r="H1321">
        <v>0</v>
      </c>
      <c r="I1321">
        <v>357.103647</v>
      </c>
      <c r="J1321">
        <v>0</v>
      </c>
      <c r="K1321" t="s">
        <v>1921</v>
      </c>
      <c r="L1321">
        <v>1.491639357544875</v>
      </c>
      <c r="M1321">
        <v>24.27</v>
      </c>
      <c r="N1321">
        <v>7.57</v>
      </c>
    </row>
    <row r="1322" spans="1:14">
      <c r="A1322" s="1" t="s">
        <v>1334</v>
      </c>
      <c r="B1322">
        <f>HYPERLINK("https://www.suredividend.com/sure-analysis-PNM/","PNM Resources Inc")</f>
        <v>0</v>
      </c>
      <c r="C1322" t="s">
        <v>1930</v>
      </c>
      <c r="D1322">
        <v>49.05</v>
      </c>
      <c r="E1322">
        <v>0.02996941896024465</v>
      </c>
      <c r="F1322">
        <v>0.06106870229007644</v>
      </c>
      <c r="G1322">
        <v>0.05570307609280922</v>
      </c>
      <c r="H1322">
        <v>1.374780930421587</v>
      </c>
      <c r="I1322">
        <v>1918.728041</v>
      </c>
      <c r="J1322">
        <v>11.62830242083573</v>
      </c>
      <c r="K1322">
        <v>0.7197805918437628</v>
      </c>
      <c r="L1322">
        <v>0.193702787037582</v>
      </c>
      <c r="M1322">
        <v>49.31</v>
      </c>
      <c r="N1322">
        <v>42.67</v>
      </c>
    </row>
    <row r="1323" spans="1:14">
      <c r="A1323" s="1" t="s">
        <v>1335</v>
      </c>
      <c r="B1323">
        <f>HYPERLINK("https://www.suredividend.com/sure-analysis-research-database/","Pennant Group Inc")</f>
        <v>0</v>
      </c>
      <c r="C1323" t="s">
        <v>1922</v>
      </c>
      <c r="D1323">
        <v>10.84</v>
      </c>
      <c r="E1323">
        <v>0</v>
      </c>
      <c r="F1323" t="s">
        <v>1921</v>
      </c>
      <c r="G1323" t="s">
        <v>1921</v>
      </c>
      <c r="H1323">
        <v>0</v>
      </c>
      <c r="I1323">
        <v>321.694463</v>
      </c>
      <c r="J1323">
        <v>315.3867286666667</v>
      </c>
      <c r="K1323">
        <v>0</v>
      </c>
      <c r="L1323">
        <v>1.352203070565993</v>
      </c>
      <c r="M1323">
        <v>20.9</v>
      </c>
      <c r="N1323">
        <v>8.68</v>
      </c>
    </row>
    <row r="1324" spans="1:14">
      <c r="A1324" s="1" t="s">
        <v>1336</v>
      </c>
      <c r="B1324">
        <f>HYPERLINK("https://www.suredividend.com/sure-analysis-research-database/","Plantronics, Inc.")</f>
        <v>0</v>
      </c>
      <c r="C1324" t="s">
        <v>1921</v>
      </c>
      <c r="D1324">
        <v>39.82</v>
      </c>
      <c r="E1324">
        <v>0</v>
      </c>
      <c r="F1324" t="s">
        <v>1921</v>
      </c>
      <c r="G1324" t="s">
        <v>1921</v>
      </c>
      <c r="H1324">
        <v>0</v>
      </c>
      <c r="I1324">
        <v>1751.835187</v>
      </c>
      <c r="J1324">
        <v>80.94982610045747</v>
      </c>
      <c r="K1324">
        <v>0</v>
      </c>
      <c r="M1324">
        <v>40.82</v>
      </c>
      <c r="N1324">
        <v>22.69</v>
      </c>
    </row>
    <row r="1325" spans="1:14">
      <c r="A1325" s="1" t="s">
        <v>1337</v>
      </c>
      <c r="B1325">
        <f>HYPERLINK("https://www.suredividend.com/sure-analysis-POR/","Portland General Electric Co")</f>
        <v>0</v>
      </c>
      <c r="C1325" t="s">
        <v>1930</v>
      </c>
      <c r="D1325">
        <v>49.46</v>
      </c>
      <c r="E1325">
        <v>0.03659522846744844</v>
      </c>
      <c r="F1325">
        <v>0.05232558139534893</v>
      </c>
      <c r="G1325">
        <v>0.05883413386416847</v>
      </c>
      <c r="H1325">
        <v>1.763110905460479</v>
      </c>
      <c r="I1325">
        <v>4415.437832</v>
      </c>
      <c r="J1325">
        <v>17.80418480580645</v>
      </c>
      <c r="K1325">
        <v>0.636502131935191</v>
      </c>
      <c r="L1325">
        <v>0.4791821039833991</v>
      </c>
      <c r="M1325">
        <v>55.45</v>
      </c>
      <c r="N1325">
        <v>41.19</v>
      </c>
    </row>
    <row r="1326" spans="1:14">
      <c r="A1326" s="1" t="s">
        <v>1338</v>
      </c>
      <c r="B1326">
        <f>HYPERLINK("https://www.suredividend.com/sure-analysis-research-database/","Power Integrations Inc.")</f>
        <v>0</v>
      </c>
      <c r="C1326" t="s">
        <v>1920</v>
      </c>
      <c r="D1326">
        <v>78.98</v>
      </c>
      <c r="E1326">
        <v>0.009084044393725</v>
      </c>
      <c r="F1326">
        <v>0.2</v>
      </c>
      <c r="G1326">
        <v>0.02383625553960966</v>
      </c>
      <c r="H1326">
        <v>0.7174578262164221</v>
      </c>
      <c r="I1326">
        <v>4517.486983</v>
      </c>
      <c r="J1326">
        <v>23.9354812160902</v>
      </c>
      <c r="K1326">
        <v>0.2256156686215164</v>
      </c>
      <c r="L1326">
        <v>1.435410021746115</v>
      </c>
      <c r="M1326">
        <v>98.23</v>
      </c>
      <c r="N1326">
        <v>59.02</v>
      </c>
    </row>
    <row r="1327" spans="1:14">
      <c r="A1327" s="1" t="s">
        <v>1339</v>
      </c>
      <c r="B1327">
        <f>HYPERLINK("https://www.suredividend.com/sure-analysis-research-database/","Powell Industries, Inc.")</f>
        <v>0</v>
      </c>
      <c r="C1327" t="s">
        <v>1924</v>
      </c>
      <c r="D1327">
        <v>37.03</v>
      </c>
      <c r="E1327">
        <v>0.027669645565144</v>
      </c>
      <c r="F1327">
        <v>0</v>
      </c>
      <c r="G1327">
        <v>0</v>
      </c>
      <c r="H1327">
        <v>1.024606975277299</v>
      </c>
      <c r="I1327">
        <v>438.238311</v>
      </c>
      <c r="J1327">
        <v>31.90203912717478</v>
      </c>
      <c r="K1327">
        <v>0.8909625871976514</v>
      </c>
      <c r="L1327">
        <v>0.6883493315797351</v>
      </c>
      <c r="M1327">
        <v>38.14</v>
      </c>
      <c r="N1327">
        <v>18.25</v>
      </c>
    </row>
    <row r="1328" spans="1:14">
      <c r="A1328" s="1" t="s">
        <v>1340</v>
      </c>
      <c r="B1328">
        <f>HYPERLINK("https://www.suredividend.com/sure-analysis-research-database/","AMMO Inc")</f>
        <v>0</v>
      </c>
      <c r="C1328" t="s">
        <v>1927</v>
      </c>
      <c r="D1328">
        <v>2.03</v>
      </c>
      <c r="E1328">
        <v>0</v>
      </c>
      <c r="F1328" t="s">
        <v>1921</v>
      </c>
      <c r="G1328" t="s">
        <v>1921</v>
      </c>
      <c r="H1328">
        <v>0</v>
      </c>
      <c r="I1328">
        <v>238.423003</v>
      </c>
      <c r="J1328">
        <v>0</v>
      </c>
      <c r="K1328" t="s">
        <v>1921</v>
      </c>
      <c r="L1328">
        <v>1.319658582882046</v>
      </c>
      <c r="M1328">
        <v>6.06</v>
      </c>
      <c r="N1328">
        <v>1.56</v>
      </c>
    </row>
    <row r="1329" spans="1:14">
      <c r="A1329" s="1" t="s">
        <v>1341</v>
      </c>
      <c r="B1329">
        <f>HYPERLINK("https://www.suredividend.com/sure-analysis-research-database/","Pacific Premier Bancorp, Inc.")</f>
        <v>0</v>
      </c>
      <c r="C1329" t="s">
        <v>1923</v>
      </c>
      <c r="D1329">
        <v>31.37</v>
      </c>
      <c r="E1329">
        <v>0.041475620583355</v>
      </c>
      <c r="F1329" t="s">
        <v>1921</v>
      </c>
      <c r="G1329" t="s">
        <v>1921</v>
      </c>
      <c r="H1329">
        <v>1.301090217699851</v>
      </c>
      <c r="I1329">
        <v>2980.528855</v>
      </c>
      <c r="J1329">
        <v>10.22301022973682</v>
      </c>
      <c r="K1329">
        <v>0.4197065218386616</v>
      </c>
      <c r="L1329">
        <v>0.9705252993578181</v>
      </c>
      <c r="M1329">
        <v>42.91</v>
      </c>
      <c r="N1329">
        <v>27.39</v>
      </c>
    </row>
    <row r="1330" spans="1:14">
      <c r="A1330" s="1" t="s">
        <v>1342</v>
      </c>
      <c r="B1330">
        <f>HYPERLINK("https://www.suredividend.com/sure-analysis-research-database/","Perpetua Resources Corp.")</f>
        <v>0</v>
      </c>
      <c r="C1330" t="s">
        <v>1921</v>
      </c>
      <c r="D1330">
        <v>2.88</v>
      </c>
      <c r="E1330">
        <v>0</v>
      </c>
      <c r="F1330" t="s">
        <v>1921</v>
      </c>
      <c r="G1330" t="s">
        <v>1921</v>
      </c>
      <c r="H1330">
        <v>0</v>
      </c>
      <c r="I1330">
        <v>181.473918</v>
      </c>
      <c r="J1330">
        <v>0</v>
      </c>
      <c r="K1330" t="s">
        <v>1921</v>
      </c>
      <c r="L1330">
        <v>0.980519071133622</v>
      </c>
      <c r="M1330">
        <v>4.88</v>
      </c>
      <c r="N1330">
        <v>1.69</v>
      </c>
    </row>
    <row r="1331" spans="1:14">
      <c r="A1331" s="1" t="s">
        <v>1343</v>
      </c>
      <c r="B1331">
        <f>HYPERLINK("https://www.suredividend.com/sure-analysis-research-database/","Proassurance Corporation")</f>
        <v>0</v>
      </c>
      <c r="C1331" t="s">
        <v>1923</v>
      </c>
      <c r="D1331">
        <v>17.61</v>
      </c>
      <c r="E1331">
        <v>0.011312208826945</v>
      </c>
      <c r="F1331">
        <v>0</v>
      </c>
      <c r="G1331">
        <v>-0.3057407703118492</v>
      </c>
      <c r="H1331">
        <v>0.199207997442507</v>
      </c>
      <c r="I1331">
        <v>950.298221</v>
      </c>
      <c r="J1331">
        <v>53.40254122843495</v>
      </c>
      <c r="K1331">
        <v>0.6060480603666171</v>
      </c>
      <c r="L1331">
        <v>0.481462265353485</v>
      </c>
      <c r="M1331">
        <v>27.34</v>
      </c>
      <c r="N1331">
        <v>16.85</v>
      </c>
    </row>
    <row r="1332" spans="1:14">
      <c r="A1332" s="1" t="s">
        <v>1344</v>
      </c>
      <c r="B1332">
        <f>HYPERLINK("https://www.suredividend.com/sure-analysis-research-database/","PRA Group Inc")</f>
        <v>0</v>
      </c>
      <c r="C1332" t="s">
        <v>1923</v>
      </c>
      <c r="D1332">
        <v>34.9</v>
      </c>
      <c r="E1332">
        <v>0</v>
      </c>
      <c r="F1332" t="s">
        <v>1921</v>
      </c>
      <c r="G1332" t="s">
        <v>1921</v>
      </c>
      <c r="H1332">
        <v>0</v>
      </c>
      <c r="I1332">
        <v>1360.294159</v>
      </c>
      <c r="J1332">
        <v>10.04173920008268</v>
      </c>
      <c r="K1332">
        <v>0</v>
      </c>
      <c r="L1332">
        <v>0.419142322394383</v>
      </c>
      <c r="M1332">
        <v>50.92</v>
      </c>
      <c r="N1332">
        <v>29.69</v>
      </c>
    </row>
    <row r="1333" spans="1:14">
      <c r="A1333" s="1" t="s">
        <v>1345</v>
      </c>
      <c r="B1333">
        <f>HYPERLINK("https://www.suredividend.com/sure-analysis-research-database/","Praxis Precision Medicines Inc")</f>
        <v>0</v>
      </c>
      <c r="C1333" t="s">
        <v>1921</v>
      </c>
      <c r="D1333">
        <v>2.4</v>
      </c>
      <c r="E1333">
        <v>0</v>
      </c>
      <c r="F1333" t="s">
        <v>1921</v>
      </c>
      <c r="G1333" t="s">
        <v>1921</v>
      </c>
      <c r="H1333">
        <v>0</v>
      </c>
      <c r="I1333">
        <v>113.084587</v>
      </c>
      <c r="J1333">
        <v>0</v>
      </c>
      <c r="K1333" t="s">
        <v>1921</v>
      </c>
      <c r="L1333">
        <v>1.128041310014348</v>
      </c>
      <c r="M1333">
        <v>18.25</v>
      </c>
      <c r="N1333">
        <v>1.48</v>
      </c>
    </row>
    <row r="1334" spans="1:14">
      <c r="A1334" s="1" t="s">
        <v>1346</v>
      </c>
      <c r="B1334">
        <f>HYPERLINK("https://www.suredividend.com/sure-analysis-research-database/","Porch Group Inc")</f>
        <v>0</v>
      </c>
      <c r="C1334" t="s">
        <v>1921</v>
      </c>
      <c r="D1334">
        <v>1.95</v>
      </c>
      <c r="E1334">
        <v>0</v>
      </c>
      <c r="F1334" t="s">
        <v>1921</v>
      </c>
      <c r="G1334" t="s">
        <v>1921</v>
      </c>
      <c r="H1334">
        <v>0</v>
      </c>
      <c r="I1334">
        <v>196.081359</v>
      </c>
      <c r="J1334">
        <v>0</v>
      </c>
      <c r="K1334" t="s">
        <v>1921</v>
      </c>
      <c r="L1334">
        <v>2.276231495849043</v>
      </c>
      <c r="M1334">
        <v>14.95</v>
      </c>
      <c r="N1334">
        <v>0.9400000000000001</v>
      </c>
    </row>
    <row r="1335" spans="1:14">
      <c r="A1335" s="1" t="s">
        <v>1347</v>
      </c>
      <c r="B1335">
        <f>HYPERLINK("https://www.suredividend.com/sure-analysis-research-database/","Procept BioRobotics Corp")</f>
        <v>0</v>
      </c>
      <c r="C1335" t="s">
        <v>1921</v>
      </c>
      <c r="D1335">
        <v>36.9</v>
      </c>
      <c r="E1335">
        <v>0</v>
      </c>
      <c r="F1335" t="s">
        <v>1921</v>
      </c>
      <c r="G1335" t="s">
        <v>1921</v>
      </c>
      <c r="H1335">
        <v>0</v>
      </c>
      <c r="I1335">
        <v>1650.169734</v>
      </c>
      <c r="J1335">
        <v>0</v>
      </c>
      <c r="K1335" t="s">
        <v>1921</v>
      </c>
      <c r="L1335">
        <v>1.462469017324339</v>
      </c>
      <c r="M1335">
        <v>52.4</v>
      </c>
      <c r="N1335">
        <v>15.38</v>
      </c>
    </row>
    <row r="1336" spans="1:14">
      <c r="A1336" s="1" t="s">
        <v>1348</v>
      </c>
      <c r="B1336">
        <f>HYPERLINK("https://www.suredividend.com/sure-analysis-research-database/","Perdoceo Education Corporation")</f>
        <v>0</v>
      </c>
      <c r="C1336" t="s">
        <v>1928</v>
      </c>
      <c r="D1336">
        <v>14.43</v>
      </c>
      <c r="E1336">
        <v>0</v>
      </c>
      <c r="F1336" t="s">
        <v>1921</v>
      </c>
      <c r="G1336" t="s">
        <v>1921</v>
      </c>
      <c r="H1336">
        <v>0</v>
      </c>
      <c r="I1336">
        <v>969.269666</v>
      </c>
      <c r="J1336">
        <v>9.286149051045239</v>
      </c>
      <c r="K1336">
        <v>0</v>
      </c>
      <c r="L1336">
        <v>0.6052769754849311</v>
      </c>
      <c r="M1336">
        <v>14.82</v>
      </c>
      <c r="N1336">
        <v>9.65</v>
      </c>
    </row>
    <row r="1337" spans="1:14">
      <c r="A1337" s="1" t="s">
        <v>1349</v>
      </c>
      <c r="B1337">
        <f>HYPERLINK("https://www.suredividend.com/sure-analysis-research-database/","Perficient Inc.")</f>
        <v>0</v>
      </c>
      <c r="C1337" t="s">
        <v>1920</v>
      </c>
      <c r="D1337">
        <v>71.59</v>
      </c>
      <c r="E1337">
        <v>0</v>
      </c>
      <c r="F1337" t="s">
        <v>1921</v>
      </c>
      <c r="G1337" t="s">
        <v>1921</v>
      </c>
      <c r="H1337">
        <v>0</v>
      </c>
      <c r="I1337">
        <v>2479.050306</v>
      </c>
      <c r="J1337">
        <v>30.0629417908855</v>
      </c>
      <c r="K1337">
        <v>0</v>
      </c>
      <c r="L1337">
        <v>1.413048961513971</v>
      </c>
      <c r="M1337">
        <v>116.44</v>
      </c>
      <c r="N1337">
        <v>59.79</v>
      </c>
    </row>
    <row r="1338" spans="1:14">
      <c r="A1338" s="1" t="s">
        <v>1350</v>
      </c>
      <c r="B1338">
        <f>HYPERLINK("https://www.suredividend.com/sure-analysis-research-database/","PROG Holdings Inc")</f>
        <v>0</v>
      </c>
      <c r="C1338" t="s">
        <v>1921</v>
      </c>
      <c r="D1338">
        <v>18.28</v>
      </c>
      <c r="E1338">
        <v>0</v>
      </c>
      <c r="F1338" t="s">
        <v>1921</v>
      </c>
      <c r="G1338" t="s">
        <v>1921</v>
      </c>
      <c r="H1338">
        <v>0</v>
      </c>
      <c r="I1338">
        <v>914.596659</v>
      </c>
      <c r="J1338">
        <v>9.105628657049271</v>
      </c>
      <c r="K1338">
        <v>0</v>
      </c>
      <c r="L1338">
        <v>1.60323411266424</v>
      </c>
      <c r="M1338">
        <v>44.97</v>
      </c>
      <c r="N1338">
        <v>12.11</v>
      </c>
    </row>
    <row r="1339" spans="1:14">
      <c r="A1339" s="1" t="s">
        <v>1351</v>
      </c>
      <c r="B1339">
        <f>HYPERLINK("https://www.suredividend.com/sure-analysis-research-database/","Progress Software Corp.")</f>
        <v>0</v>
      </c>
      <c r="C1339" t="s">
        <v>1920</v>
      </c>
      <c r="D1339">
        <v>51.85</v>
      </c>
      <c r="E1339">
        <v>0.013442472337979</v>
      </c>
      <c r="F1339">
        <v>0</v>
      </c>
      <c r="G1339">
        <v>0.04563955259127317</v>
      </c>
      <c r="H1339">
        <v>0.696992190724215</v>
      </c>
      <c r="I1339">
        <v>2229.463048</v>
      </c>
      <c r="J1339">
        <v>25.8377629022912</v>
      </c>
      <c r="K1339">
        <v>0.3592743251155748</v>
      </c>
      <c r="L1339">
        <v>0.9040246087814621</v>
      </c>
      <c r="M1339">
        <v>54.23</v>
      </c>
      <c r="N1339">
        <v>40.19</v>
      </c>
    </row>
    <row r="1340" spans="1:14">
      <c r="A1340" s="1" t="s">
        <v>1352</v>
      </c>
      <c r="B1340">
        <f>HYPERLINK("https://www.suredividend.com/sure-analysis-research-database/","Primoris Services Corp")</f>
        <v>0</v>
      </c>
      <c r="C1340" t="s">
        <v>1924</v>
      </c>
      <c r="D1340">
        <v>23.66</v>
      </c>
      <c r="E1340">
        <v>0.010097964252534</v>
      </c>
      <c r="F1340">
        <v>0</v>
      </c>
      <c r="G1340">
        <v>0</v>
      </c>
      <c r="H1340">
        <v>0.238917834214958</v>
      </c>
      <c r="I1340">
        <v>1256.608792</v>
      </c>
      <c r="J1340">
        <v>10.39052069341316</v>
      </c>
      <c r="K1340">
        <v>0.1061857040955369</v>
      </c>
      <c r="L1340">
        <v>0.9141054592041511</v>
      </c>
      <c r="M1340">
        <v>27.69</v>
      </c>
      <c r="N1340">
        <v>15.86</v>
      </c>
    </row>
    <row r="1341" spans="1:14">
      <c r="A1341" s="1" t="s">
        <v>1353</v>
      </c>
      <c r="B1341">
        <f>HYPERLINK("https://www.suredividend.com/sure-analysis-research-database/","Park National Corp.")</f>
        <v>0</v>
      </c>
      <c r="C1341" t="s">
        <v>1923</v>
      </c>
      <c r="D1341">
        <v>140.04</v>
      </c>
      <c r="E1341">
        <v>0.029373202596368</v>
      </c>
      <c r="F1341">
        <v>-0.5192307692307693</v>
      </c>
      <c r="G1341">
        <v>-0.1311801672243944</v>
      </c>
      <c r="H1341">
        <v>4.113423291595471</v>
      </c>
      <c r="I1341">
        <v>2277.552163</v>
      </c>
      <c r="J1341">
        <v>15.00215501314099</v>
      </c>
      <c r="K1341">
        <v>0.4432568202150293</v>
      </c>
      <c r="L1341">
        <v>0.654506594396948</v>
      </c>
      <c r="M1341">
        <v>151.59</v>
      </c>
      <c r="N1341">
        <v>111.15</v>
      </c>
    </row>
    <row r="1342" spans="1:14">
      <c r="A1342" s="1" t="s">
        <v>1354</v>
      </c>
      <c r="B1342">
        <f>HYPERLINK("https://www.suredividend.com/sure-analysis-research-database/","Proto Labs Inc")</f>
        <v>0</v>
      </c>
      <c r="C1342" t="s">
        <v>1924</v>
      </c>
      <c r="D1342">
        <v>26.28</v>
      </c>
      <c r="E1342">
        <v>0</v>
      </c>
      <c r="F1342" t="s">
        <v>1921</v>
      </c>
      <c r="G1342" t="s">
        <v>1921</v>
      </c>
      <c r="H1342">
        <v>0</v>
      </c>
      <c r="I1342">
        <v>712.631895</v>
      </c>
      <c r="J1342">
        <v>30.30799538468081</v>
      </c>
      <c r="K1342">
        <v>0</v>
      </c>
      <c r="L1342">
        <v>1.04937463582753</v>
      </c>
      <c r="M1342">
        <v>61.14</v>
      </c>
      <c r="N1342">
        <v>22.04</v>
      </c>
    </row>
    <row r="1343" spans="1:14">
      <c r="A1343" s="1" t="s">
        <v>1355</v>
      </c>
      <c r="B1343">
        <f>HYPERLINK("https://www.suredividend.com/sure-analysis-research-database/","Prelude Therapeutics Inc")</f>
        <v>0</v>
      </c>
      <c r="C1343" t="s">
        <v>1921</v>
      </c>
      <c r="D1343">
        <v>4.64</v>
      </c>
      <c r="E1343">
        <v>0</v>
      </c>
      <c r="F1343" t="s">
        <v>1921</v>
      </c>
      <c r="G1343" t="s">
        <v>1921</v>
      </c>
      <c r="H1343">
        <v>0</v>
      </c>
      <c r="I1343">
        <v>221.946544</v>
      </c>
      <c r="J1343">
        <v>0</v>
      </c>
      <c r="K1343" t="s">
        <v>1921</v>
      </c>
      <c r="L1343">
        <v>1.351369573369424</v>
      </c>
      <c r="M1343">
        <v>10.72</v>
      </c>
      <c r="N1343">
        <v>3.87</v>
      </c>
    </row>
    <row r="1344" spans="1:14">
      <c r="A1344" s="1" t="s">
        <v>1356</v>
      </c>
      <c r="B1344">
        <f>HYPERLINK("https://www.suredividend.com/sure-analysis-research-database/","Primo Water Corporation")</f>
        <v>0</v>
      </c>
      <c r="C1344" t="s">
        <v>1928</v>
      </c>
      <c r="D1344">
        <v>15.8</v>
      </c>
      <c r="E1344">
        <v>0.020098453541402</v>
      </c>
      <c r="F1344">
        <v>-0.08187088481414428</v>
      </c>
      <c r="G1344">
        <v>0.03131030647754507</v>
      </c>
      <c r="H1344">
        <v>0.317555565954164</v>
      </c>
      <c r="I1344">
        <v>2524.656752</v>
      </c>
      <c r="J1344">
        <v>0</v>
      </c>
      <c r="K1344" t="s">
        <v>1921</v>
      </c>
      <c r="L1344">
        <v>0.9093948876150971</v>
      </c>
      <c r="M1344">
        <v>17.23</v>
      </c>
      <c r="N1344">
        <v>12.03</v>
      </c>
    </row>
    <row r="1345" spans="1:14">
      <c r="A1345" s="1" t="s">
        <v>1357</v>
      </c>
      <c r="B1345">
        <f>HYPERLINK("https://www.suredividend.com/sure-analysis-research-database/","Pros Holdings Inc")</f>
        <v>0</v>
      </c>
      <c r="C1345" t="s">
        <v>1920</v>
      </c>
      <c r="D1345">
        <v>23.85</v>
      </c>
      <c r="E1345">
        <v>0</v>
      </c>
      <c r="F1345" t="s">
        <v>1921</v>
      </c>
      <c r="G1345" t="s">
        <v>1921</v>
      </c>
      <c r="H1345">
        <v>0</v>
      </c>
      <c r="I1345">
        <v>1080.932204</v>
      </c>
      <c r="J1345" t="s">
        <v>1921</v>
      </c>
      <c r="K1345">
        <v>-0</v>
      </c>
      <c r="L1345">
        <v>1.684442672269323</v>
      </c>
      <c r="M1345">
        <v>35.12</v>
      </c>
      <c r="N1345">
        <v>18.09</v>
      </c>
    </row>
    <row r="1346" spans="1:14">
      <c r="A1346" s="1" t="s">
        <v>1358</v>
      </c>
      <c r="B1346">
        <f>HYPERLINK("https://www.suredividend.com/sure-analysis-research-database/","Purple Innovation Inc")</f>
        <v>0</v>
      </c>
      <c r="C1346" t="s">
        <v>1927</v>
      </c>
      <c r="D1346">
        <v>5.05</v>
      </c>
      <c r="E1346">
        <v>0</v>
      </c>
      <c r="F1346" t="s">
        <v>1921</v>
      </c>
      <c r="G1346" t="s">
        <v>1921</v>
      </c>
      <c r="H1346">
        <v>0</v>
      </c>
      <c r="I1346">
        <v>461.520601</v>
      </c>
      <c r="J1346" t="s">
        <v>1921</v>
      </c>
      <c r="K1346">
        <v>-0</v>
      </c>
      <c r="L1346">
        <v>2.206626476121212</v>
      </c>
      <c r="M1346">
        <v>11.94</v>
      </c>
      <c r="N1346">
        <v>2.65</v>
      </c>
    </row>
    <row r="1347" spans="1:14">
      <c r="A1347" s="1" t="s">
        <v>1359</v>
      </c>
      <c r="B1347">
        <f>HYPERLINK("https://www.suredividend.com/sure-analysis-research-database/","Prothena Corporation plc")</f>
        <v>0</v>
      </c>
      <c r="C1347" t="s">
        <v>1922</v>
      </c>
      <c r="D1347">
        <v>52.45</v>
      </c>
      <c r="E1347">
        <v>0</v>
      </c>
      <c r="F1347" t="s">
        <v>1921</v>
      </c>
      <c r="G1347" t="s">
        <v>1921</v>
      </c>
      <c r="H1347">
        <v>0</v>
      </c>
      <c r="I1347">
        <v>2537.350887</v>
      </c>
      <c r="J1347" t="s">
        <v>1921</v>
      </c>
      <c r="K1347">
        <v>-0</v>
      </c>
      <c r="L1347">
        <v>1.957716617169007</v>
      </c>
      <c r="M1347">
        <v>66.47</v>
      </c>
      <c r="N1347">
        <v>21.06</v>
      </c>
    </row>
    <row r="1348" spans="1:14">
      <c r="A1348" s="1" t="s">
        <v>1360</v>
      </c>
      <c r="B1348">
        <f>HYPERLINK("https://www.suredividend.com/sure-analysis-research-database/","Portage Biotech Inc")</f>
        <v>0</v>
      </c>
      <c r="C1348" t="s">
        <v>1921</v>
      </c>
      <c r="D1348">
        <v>5.96</v>
      </c>
      <c r="E1348">
        <v>0</v>
      </c>
      <c r="F1348" t="s">
        <v>1921</v>
      </c>
      <c r="G1348" t="s">
        <v>1921</v>
      </c>
      <c r="H1348">
        <v>0</v>
      </c>
      <c r="I1348">
        <v>100.990907</v>
      </c>
      <c r="J1348">
        <v>0</v>
      </c>
      <c r="K1348" t="s">
        <v>1921</v>
      </c>
      <c r="L1348">
        <v>0.8143872187747681</v>
      </c>
      <c r="M1348">
        <v>11.99</v>
      </c>
      <c r="N1348">
        <v>4.17</v>
      </c>
    </row>
    <row r="1349" spans="1:14">
      <c r="A1349" s="1" t="s">
        <v>1361</v>
      </c>
      <c r="B1349">
        <f>HYPERLINK("https://www.suredividend.com/sure-analysis-research-database/","Priority Technology Holdings Inc")</f>
        <v>0</v>
      </c>
      <c r="C1349" t="s">
        <v>1920</v>
      </c>
      <c r="D1349">
        <v>5.26</v>
      </c>
      <c r="E1349">
        <v>0</v>
      </c>
      <c r="F1349" t="s">
        <v>1921</v>
      </c>
      <c r="G1349" t="s">
        <v>1921</v>
      </c>
      <c r="H1349">
        <v>0</v>
      </c>
      <c r="I1349">
        <v>399.772456</v>
      </c>
      <c r="J1349">
        <v>0</v>
      </c>
      <c r="K1349" t="s">
        <v>1921</v>
      </c>
      <c r="L1349">
        <v>0.948530056220195</v>
      </c>
      <c r="M1349">
        <v>6.35</v>
      </c>
      <c r="N1349">
        <v>3.1</v>
      </c>
    </row>
    <row r="1350" spans="1:14">
      <c r="A1350" s="1" t="s">
        <v>1362</v>
      </c>
      <c r="B1350">
        <f>HYPERLINK("https://www.suredividend.com/sure-analysis-research-database/","Paratek Pharmaceuticals Inc.")</f>
        <v>0</v>
      </c>
      <c r="C1350" t="s">
        <v>1922</v>
      </c>
      <c r="D1350">
        <v>2.26</v>
      </c>
      <c r="E1350">
        <v>0</v>
      </c>
      <c r="F1350" t="s">
        <v>1921</v>
      </c>
      <c r="G1350" t="s">
        <v>1921</v>
      </c>
      <c r="H1350">
        <v>0</v>
      </c>
      <c r="I1350">
        <v>125.541793</v>
      </c>
      <c r="J1350" t="s">
        <v>1921</v>
      </c>
      <c r="K1350">
        <v>-0</v>
      </c>
      <c r="L1350">
        <v>1.188311771945919</v>
      </c>
      <c r="M1350">
        <v>4.8</v>
      </c>
      <c r="N1350">
        <v>1.6</v>
      </c>
    </row>
    <row r="1351" spans="1:14">
      <c r="A1351" s="1" t="s">
        <v>1363</v>
      </c>
      <c r="B1351">
        <f>HYPERLINK("https://www.suredividend.com/sure-analysis-research-database/","CarParts.com Inc")</f>
        <v>0</v>
      </c>
      <c r="C1351" t="s">
        <v>1927</v>
      </c>
      <c r="D1351">
        <v>6.73</v>
      </c>
      <c r="E1351">
        <v>0</v>
      </c>
      <c r="F1351" t="s">
        <v>1921</v>
      </c>
      <c r="G1351" t="s">
        <v>1921</v>
      </c>
      <c r="H1351">
        <v>0</v>
      </c>
      <c r="I1351">
        <v>367.185435</v>
      </c>
      <c r="J1351">
        <v>1511.051172839506</v>
      </c>
      <c r="K1351">
        <v>0</v>
      </c>
      <c r="L1351">
        <v>1.870047457105761</v>
      </c>
      <c r="M1351">
        <v>11.37</v>
      </c>
      <c r="N1351">
        <v>3.92</v>
      </c>
    </row>
    <row r="1352" spans="1:14">
      <c r="A1352" s="1" t="s">
        <v>1364</v>
      </c>
      <c r="B1352">
        <f>HYPERLINK("https://www.suredividend.com/sure-analysis-research-database/","Party City Holdco Inc")</f>
        <v>0</v>
      </c>
      <c r="C1352" t="s">
        <v>1927</v>
      </c>
      <c r="D1352">
        <v>0.2072</v>
      </c>
      <c r="E1352">
        <v>0</v>
      </c>
      <c r="F1352" t="s">
        <v>1921</v>
      </c>
      <c r="G1352" t="s">
        <v>1921</v>
      </c>
      <c r="H1352">
        <v>0</v>
      </c>
      <c r="I1352">
        <v>23.479134</v>
      </c>
      <c r="J1352" t="s">
        <v>1921</v>
      </c>
      <c r="K1352">
        <v>-0</v>
      </c>
      <c r="L1352">
        <v>2.242164342660037</v>
      </c>
      <c r="M1352">
        <v>6.48</v>
      </c>
      <c r="N1352">
        <v>0.15</v>
      </c>
    </row>
    <row r="1353" spans="1:14">
      <c r="A1353" s="1" t="s">
        <v>1365</v>
      </c>
      <c r="B1353">
        <f>HYPERLINK("https://www.suredividend.com/sure-analysis-research-database/","Privia Health Group Inc")</f>
        <v>0</v>
      </c>
      <c r="C1353" t="s">
        <v>1921</v>
      </c>
      <c r="D1353">
        <v>21.93</v>
      </c>
      <c r="E1353">
        <v>0</v>
      </c>
      <c r="F1353" t="s">
        <v>1921</v>
      </c>
      <c r="G1353" t="s">
        <v>1921</v>
      </c>
      <c r="H1353">
        <v>0</v>
      </c>
      <c r="I1353">
        <v>2506.567114</v>
      </c>
      <c r="J1353">
        <v>0</v>
      </c>
      <c r="K1353" t="s">
        <v>1921</v>
      </c>
      <c r="L1353">
        <v>1.269839434099268</v>
      </c>
      <c r="M1353">
        <v>44.64</v>
      </c>
      <c r="N1353">
        <v>17.99</v>
      </c>
    </row>
    <row r="1354" spans="1:14">
      <c r="A1354" s="1" t="s">
        <v>1366</v>
      </c>
      <c r="B1354">
        <f>HYPERLINK("https://www.suredividend.com/sure-analysis-research-database/","Provention Bio Inc")</f>
        <v>0</v>
      </c>
      <c r="C1354" t="s">
        <v>1922</v>
      </c>
      <c r="D1354">
        <v>8.640000000000001</v>
      </c>
      <c r="E1354">
        <v>0</v>
      </c>
      <c r="F1354" t="s">
        <v>1921</v>
      </c>
      <c r="G1354" t="s">
        <v>1921</v>
      </c>
      <c r="H1354">
        <v>0</v>
      </c>
      <c r="I1354">
        <v>753.327363</v>
      </c>
      <c r="J1354">
        <v>0</v>
      </c>
      <c r="K1354" t="s">
        <v>1921</v>
      </c>
      <c r="L1354">
        <v>1.380177608630534</v>
      </c>
      <c r="M1354">
        <v>10.88</v>
      </c>
      <c r="N1354">
        <v>3.19</v>
      </c>
    </row>
    <row r="1355" spans="1:14">
      <c r="A1355" s="1" t="s">
        <v>1367</v>
      </c>
      <c r="B1355">
        <f>HYPERLINK("https://www.suredividend.com/sure-analysis-PSB/","PS Business Parks, Inc.")</f>
        <v>0</v>
      </c>
      <c r="C1355" t="s">
        <v>1929</v>
      </c>
      <c r="D1355">
        <v>187.44</v>
      </c>
      <c r="E1355">
        <v>0.022069755700724</v>
      </c>
      <c r="F1355">
        <v>-0.7934780952380953</v>
      </c>
      <c r="G1355">
        <v>-0.2705538702408765</v>
      </c>
      <c r="H1355">
        <v>4.136755008543845</v>
      </c>
      <c r="I1355">
        <v>5178.487916</v>
      </c>
      <c r="J1355">
        <v>11.84480132645616</v>
      </c>
      <c r="K1355">
        <v>0.2616543332412299</v>
      </c>
      <c r="L1355">
        <v>0.363286488982407</v>
      </c>
      <c r="M1355">
        <v>188.54</v>
      </c>
      <c r="N1355">
        <v>142.8</v>
      </c>
    </row>
    <row r="1356" spans="1:14">
      <c r="A1356" s="1" t="s">
        <v>1368</v>
      </c>
      <c r="B1356">
        <f>HYPERLINK("https://www.suredividend.com/sure-analysis-research-database/","Pricesmart Inc.")</f>
        <v>0</v>
      </c>
      <c r="C1356" t="s">
        <v>1928</v>
      </c>
      <c r="D1356">
        <v>63.13</v>
      </c>
      <c r="E1356">
        <v>0.013576972464039</v>
      </c>
      <c r="F1356" t="s">
        <v>1921</v>
      </c>
      <c r="G1356" t="s">
        <v>1921</v>
      </c>
      <c r="H1356">
        <v>0.85711427165482</v>
      </c>
      <c r="I1356">
        <v>1960.24439</v>
      </c>
      <c r="J1356">
        <v>18.97824928317633</v>
      </c>
      <c r="K1356">
        <v>0.2535841040398876</v>
      </c>
      <c r="L1356">
        <v>0.7045839909371681</v>
      </c>
      <c r="M1356">
        <v>87.70999999999999</v>
      </c>
      <c r="N1356">
        <v>56.29</v>
      </c>
    </row>
    <row r="1357" spans="1:14">
      <c r="A1357" s="1" t="s">
        <v>1369</v>
      </c>
      <c r="B1357">
        <f>HYPERLINK("https://www.suredividend.com/sure-analysis-research-database/","Parsons Corp")</f>
        <v>0</v>
      </c>
      <c r="C1357" t="s">
        <v>1924</v>
      </c>
      <c r="D1357">
        <v>43.42</v>
      </c>
      <c r="E1357">
        <v>0</v>
      </c>
      <c r="F1357" t="s">
        <v>1921</v>
      </c>
      <c r="G1357" t="s">
        <v>1921</v>
      </c>
      <c r="H1357">
        <v>0</v>
      </c>
      <c r="I1357">
        <v>4494.096743</v>
      </c>
      <c r="J1357">
        <v>46.09046359177896</v>
      </c>
      <c r="K1357">
        <v>0</v>
      </c>
      <c r="L1357">
        <v>0.701776493910628</v>
      </c>
      <c r="M1357">
        <v>50.15</v>
      </c>
      <c r="N1357">
        <v>29.25</v>
      </c>
    </row>
    <row r="1358" spans="1:14">
      <c r="A1358" s="1" t="s">
        <v>1370</v>
      </c>
      <c r="B1358">
        <f>HYPERLINK("https://www.suredividend.com/sure-analysis-research-database/","Personalis Inc")</f>
        <v>0</v>
      </c>
      <c r="C1358" t="s">
        <v>1922</v>
      </c>
      <c r="D1358">
        <v>2.36</v>
      </c>
      <c r="E1358">
        <v>0</v>
      </c>
      <c r="F1358" t="s">
        <v>1921</v>
      </c>
      <c r="G1358" t="s">
        <v>1921</v>
      </c>
      <c r="H1358">
        <v>0</v>
      </c>
      <c r="I1358">
        <v>108.492398</v>
      </c>
      <c r="J1358" t="s">
        <v>1921</v>
      </c>
      <c r="K1358">
        <v>-0</v>
      </c>
      <c r="L1358">
        <v>2.296638798308513</v>
      </c>
      <c r="M1358">
        <v>13.44</v>
      </c>
      <c r="N1358">
        <v>1.73</v>
      </c>
    </row>
    <row r="1359" spans="1:14">
      <c r="A1359" s="1" t="s">
        <v>1371</v>
      </c>
      <c r="B1359">
        <f>HYPERLINK("https://www.suredividend.com/sure-analysis-research-database/","Postal Realty Trust Inc")</f>
        <v>0</v>
      </c>
      <c r="C1359" t="s">
        <v>1929</v>
      </c>
      <c r="D1359">
        <v>14.68</v>
      </c>
      <c r="E1359">
        <v>0.06168176705509101</v>
      </c>
      <c r="F1359" t="s">
        <v>1921</v>
      </c>
      <c r="G1359" t="s">
        <v>1921</v>
      </c>
      <c r="H1359">
        <v>0.90548834036874</v>
      </c>
      <c r="I1359">
        <v>279.133051</v>
      </c>
      <c r="J1359">
        <v>0</v>
      </c>
      <c r="K1359" t="s">
        <v>1921</v>
      </c>
      <c r="L1359">
        <v>0.599263886523935</v>
      </c>
      <c r="M1359">
        <v>17.99</v>
      </c>
      <c r="N1359">
        <v>13.74</v>
      </c>
    </row>
    <row r="1360" spans="1:14">
      <c r="A1360" s="1" t="s">
        <v>1372</v>
      </c>
      <c r="B1360">
        <f>HYPERLINK("https://www.suredividend.com/sure-analysis-research-database/","Poseida Therapeutics Inc")</f>
        <v>0</v>
      </c>
      <c r="C1360" t="s">
        <v>1921</v>
      </c>
      <c r="D1360">
        <v>6.3</v>
      </c>
      <c r="E1360">
        <v>0</v>
      </c>
      <c r="F1360" t="s">
        <v>1921</v>
      </c>
      <c r="G1360" t="s">
        <v>1921</v>
      </c>
      <c r="H1360">
        <v>0</v>
      </c>
      <c r="I1360">
        <v>541.481126</v>
      </c>
      <c r="J1360">
        <v>0</v>
      </c>
      <c r="K1360" t="s">
        <v>1921</v>
      </c>
      <c r="L1360">
        <v>1.667730158714812</v>
      </c>
      <c r="M1360">
        <v>7.03</v>
      </c>
      <c r="N1360">
        <v>1.82</v>
      </c>
    </row>
    <row r="1361" spans="1:14">
      <c r="A1361" s="1" t="s">
        <v>1373</v>
      </c>
      <c r="B1361">
        <f>HYPERLINK("https://www.suredividend.com/sure-analysis-research-database/","PTC Therapeutics Inc")</f>
        <v>0</v>
      </c>
      <c r="C1361" t="s">
        <v>1922</v>
      </c>
      <c r="D1361">
        <v>41.6</v>
      </c>
      <c r="E1361">
        <v>0</v>
      </c>
      <c r="F1361" t="s">
        <v>1921</v>
      </c>
      <c r="G1361" t="s">
        <v>1921</v>
      </c>
      <c r="H1361">
        <v>0</v>
      </c>
      <c r="I1361">
        <v>3036.411664</v>
      </c>
      <c r="J1361" t="s">
        <v>1921</v>
      </c>
      <c r="K1361">
        <v>-0</v>
      </c>
      <c r="L1361">
        <v>0.8473158017347171</v>
      </c>
      <c r="M1361">
        <v>55.58</v>
      </c>
      <c r="N1361">
        <v>25.01</v>
      </c>
    </row>
    <row r="1362" spans="1:14">
      <c r="A1362" s="1" t="s">
        <v>1374</v>
      </c>
      <c r="B1362">
        <f>HYPERLINK("https://www.suredividend.com/sure-analysis-research-database/","Patterson-UTI Energy Inc")</f>
        <v>0</v>
      </c>
      <c r="C1362" t="s">
        <v>1926</v>
      </c>
      <c r="D1362">
        <v>17.1</v>
      </c>
      <c r="E1362">
        <v>0.011646305768791</v>
      </c>
      <c r="F1362" t="s">
        <v>1921</v>
      </c>
      <c r="G1362" t="s">
        <v>1921</v>
      </c>
      <c r="H1362">
        <v>0.199151828646341</v>
      </c>
      <c r="I1362">
        <v>3707.651583</v>
      </c>
      <c r="J1362" t="s">
        <v>1921</v>
      </c>
      <c r="K1362" t="s">
        <v>1921</v>
      </c>
      <c r="L1362">
        <v>1.052096469313965</v>
      </c>
      <c r="M1362">
        <v>20.34</v>
      </c>
      <c r="N1362">
        <v>8.67</v>
      </c>
    </row>
    <row r="1363" spans="1:14">
      <c r="A1363" s="1" t="s">
        <v>1375</v>
      </c>
      <c r="B1363">
        <f>HYPERLINK("https://www.suredividend.com/sure-analysis-research-database/","Protagonist Therapeutics Inc")</f>
        <v>0</v>
      </c>
      <c r="C1363" t="s">
        <v>1922</v>
      </c>
      <c r="D1363">
        <v>11.34</v>
      </c>
      <c r="E1363">
        <v>0</v>
      </c>
      <c r="F1363" t="s">
        <v>1921</v>
      </c>
      <c r="G1363" t="s">
        <v>1921</v>
      </c>
      <c r="H1363">
        <v>0</v>
      </c>
      <c r="I1363">
        <v>557.909981</v>
      </c>
      <c r="J1363">
        <v>0</v>
      </c>
      <c r="K1363" t="s">
        <v>1921</v>
      </c>
      <c r="L1363">
        <v>1.716056101796253</v>
      </c>
      <c r="M1363">
        <v>36.32</v>
      </c>
      <c r="N1363">
        <v>6.91</v>
      </c>
    </row>
    <row r="1364" spans="1:14">
      <c r="A1364" s="1" t="s">
        <v>1376</v>
      </c>
      <c r="B1364">
        <f>HYPERLINK("https://www.suredividend.com/sure-analysis-research-database/","Portillos Inc")</f>
        <v>0</v>
      </c>
      <c r="C1364" t="s">
        <v>1921</v>
      </c>
      <c r="D1364">
        <v>17.71</v>
      </c>
      <c r="E1364">
        <v>0</v>
      </c>
      <c r="F1364" t="s">
        <v>1921</v>
      </c>
      <c r="G1364" t="s">
        <v>1921</v>
      </c>
      <c r="H1364">
        <v>0</v>
      </c>
      <c r="I1364">
        <v>750.9588659999999</v>
      </c>
      <c r="J1364">
        <v>0</v>
      </c>
      <c r="K1364" t="s">
        <v>1921</v>
      </c>
      <c r="L1364">
        <v>1.320890278379197</v>
      </c>
      <c r="M1364">
        <v>33.11</v>
      </c>
      <c r="N1364">
        <v>14.84</v>
      </c>
    </row>
    <row r="1365" spans="1:14">
      <c r="A1365" s="1" t="s">
        <v>1377</v>
      </c>
      <c r="B1365">
        <f>HYPERLINK("https://www.suredividend.com/sure-analysis-research-database/","P.A.M. Transportation Services, Inc.")</f>
        <v>0</v>
      </c>
      <c r="C1365" t="s">
        <v>1924</v>
      </c>
      <c r="D1365">
        <v>25.71</v>
      </c>
      <c r="E1365">
        <v>0</v>
      </c>
      <c r="F1365" t="s">
        <v>1921</v>
      </c>
      <c r="G1365" t="s">
        <v>1921</v>
      </c>
      <c r="H1365">
        <v>0</v>
      </c>
      <c r="I1365">
        <v>570.42939</v>
      </c>
      <c r="J1365">
        <v>5.671343392191368</v>
      </c>
      <c r="K1365">
        <v>0</v>
      </c>
      <c r="L1365">
        <v>1.506135247073925</v>
      </c>
      <c r="M1365">
        <v>40</v>
      </c>
      <c r="N1365">
        <v>23.52</v>
      </c>
    </row>
    <row r="1366" spans="1:14">
      <c r="A1366" s="1" t="s">
        <v>1378</v>
      </c>
      <c r="B1366">
        <f>HYPERLINK("https://www.suredividend.com/sure-analysis-research-database/","Pactiv Evergreen Inc")</f>
        <v>0</v>
      </c>
      <c r="C1366" t="s">
        <v>1921</v>
      </c>
      <c r="D1366">
        <v>11.56</v>
      </c>
      <c r="E1366">
        <v>0.034139558809518</v>
      </c>
      <c r="F1366" t="s">
        <v>1921</v>
      </c>
      <c r="G1366" t="s">
        <v>1921</v>
      </c>
      <c r="H1366">
        <v>0.394653299838039</v>
      </c>
      <c r="I1366">
        <v>2055.403397</v>
      </c>
      <c r="J1366">
        <v>0</v>
      </c>
      <c r="K1366" t="s">
        <v>1921</v>
      </c>
      <c r="L1366">
        <v>0.7357431419691181</v>
      </c>
      <c r="M1366">
        <v>12.46</v>
      </c>
      <c r="N1366">
        <v>8.24</v>
      </c>
    </row>
    <row r="1367" spans="1:14">
      <c r="A1367" s="1" t="s">
        <v>1379</v>
      </c>
      <c r="B1367">
        <f>HYPERLINK("https://www.suredividend.com/sure-analysis-research-database/","ProPetro Holding Corp")</f>
        <v>0</v>
      </c>
      <c r="C1367" t="s">
        <v>1926</v>
      </c>
      <c r="D1367">
        <v>10.18</v>
      </c>
      <c r="E1367">
        <v>0</v>
      </c>
      <c r="F1367" t="s">
        <v>1921</v>
      </c>
      <c r="G1367" t="s">
        <v>1921</v>
      </c>
      <c r="H1367">
        <v>0</v>
      </c>
      <c r="I1367">
        <v>1166.160585</v>
      </c>
      <c r="J1367" t="s">
        <v>1921</v>
      </c>
      <c r="K1367">
        <v>-0</v>
      </c>
      <c r="L1367">
        <v>0.8322677872069341</v>
      </c>
      <c r="M1367">
        <v>16.93</v>
      </c>
      <c r="N1367">
        <v>7.25</v>
      </c>
    </row>
    <row r="1368" spans="1:14">
      <c r="A1368" s="1" t="s">
        <v>1380</v>
      </c>
      <c r="B1368">
        <f>HYPERLINK("https://www.suredividend.com/sure-analysis-research-database/","Provident Bancorp Inc")</f>
        <v>0</v>
      </c>
      <c r="C1368" t="s">
        <v>1923</v>
      </c>
      <c r="D1368">
        <v>7.05</v>
      </c>
      <c r="E1368">
        <v>0.016975933966243</v>
      </c>
      <c r="F1368" t="s">
        <v>1921</v>
      </c>
      <c r="G1368" t="s">
        <v>1921</v>
      </c>
      <c r="H1368">
        <v>0.119680334462015</v>
      </c>
      <c r="I1368">
        <v>124.91558</v>
      </c>
      <c r="J1368">
        <v>0</v>
      </c>
      <c r="K1368" t="s">
        <v>1921</v>
      </c>
      <c r="L1368">
        <v>0.489755821899551</v>
      </c>
      <c r="M1368">
        <v>18.89</v>
      </c>
      <c r="N1368">
        <v>6.1</v>
      </c>
    </row>
    <row r="1369" spans="1:14">
      <c r="A1369" s="1" t="s">
        <v>1381</v>
      </c>
      <c r="B1369">
        <f>HYPERLINK("https://www.suredividend.com/sure-analysis-research-database/","PowerSchool Holdings Inc")</f>
        <v>0</v>
      </c>
      <c r="C1369" t="s">
        <v>1921</v>
      </c>
      <c r="D1369">
        <v>22.77</v>
      </c>
      <c r="E1369">
        <v>0</v>
      </c>
      <c r="F1369" t="s">
        <v>1921</v>
      </c>
      <c r="G1369" t="s">
        <v>1921</v>
      </c>
      <c r="H1369">
        <v>0</v>
      </c>
      <c r="I1369">
        <v>4540.834363</v>
      </c>
      <c r="J1369">
        <v>0</v>
      </c>
      <c r="K1369" t="s">
        <v>1921</v>
      </c>
      <c r="L1369">
        <v>1.167161119905682</v>
      </c>
      <c r="M1369">
        <v>23.92</v>
      </c>
      <c r="N1369">
        <v>10.6</v>
      </c>
    </row>
    <row r="1370" spans="1:14">
      <c r="A1370" s="1" t="s">
        <v>1382</v>
      </c>
      <c r="B1370">
        <f>HYPERLINK("https://www.suredividend.com/sure-analysis-research-database/","Pyxis Oncology Inc")</f>
        <v>0</v>
      </c>
      <c r="C1370" t="s">
        <v>1921</v>
      </c>
      <c r="D1370">
        <v>1.47</v>
      </c>
      <c r="E1370">
        <v>0</v>
      </c>
      <c r="F1370" t="s">
        <v>1921</v>
      </c>
      <c r="G1370" t="s">
        <v>1921</v>
      </c>
      <c r="H1370">
        <v>0</v>
      </c>
      <c r="I1370">
        <v>51.592966</v>
      </c>
      <c r="J1370">
        <v>0</v>
      </c>
      <c r="K1370" t="s">
        <v>1921</v>
      </c>
      <c r="L1370">
        <v>0.745217972491928</v>
      </c>
      <c r="M1370">
        <v>10.8</v>
      </c>
      <c r="N1370">
        <v>1.1</v>
      </c>
    </row>
    <row r="1371" spans="1:14">
      <c r="A1371" s="1" t="s">
        <v>1383</v>
      </c>
      <c r="B1371">
        <f>HYPERLINK("https://www.suredividend.com/sure-analysis-research-database/","Pzena Investment Management Inc")</f>
        <v>0</v>
      </c>
      <c r="C1371" t="s">
        <v>1923</v>
      </c>
      <c r="D1371">
        <v>9.65</v>
      </c>
      <c r="E1371">
        <v>0.06070618030247801</v>
      </c>
      <c r="F1371">
        <v>0</v>
      </c>
      <c r="G1371">
        <v>0</v>
      </c>
      <c r="H1371">
        <v>0.585814639918918</v>
      </c>
      <c r="I1371">
        <v>161.506829</v>
      </c>
      <c r="J1371">
        <v>10.60660861299008</v>
      </c>
      <c r="K1371">
        <v>3.272707485580548</v>
      </c>
      <c r="L1371">
        <v>1.098589099132716</v>
      </c>
      <c r="M1371">
        <v>11.07</v>
      </c>
      <c r="N1371">
        <v>6.05</v>
      </c>
    </row>
    <row r="1372" spans="1:14">
      <c r="A1372" s="1" t="s">
        <v>1384</v>
      </c>
      <c r="B1372">
        <f>HYPERLINK("https://www.suredividend.com/sure-analysis-research-database/","Papa John`s International, Inc.")</f>
        <v>0</v>
      </c>
      <c r="C1372" t="s">
        <v>1927</v>
      </c>
      <c r="D1372">
        <v>81.56</v>
      </c>
      <c r="E1372">
        <v>0.018653836984027</v>
      </c>
      <c r="F1372">
        <v>0.1999999999999997</v>
      </c>
      <c r="G1372">
        <v>0.1329568106011707</v>
      </c>
      <c r="H1372">
        <v>1.521406944417315</v>
      </c>
      <c r="I1372">
        <v>2881.364159</v>
      </c>
      <c r="J1372">
        <v>40.1214793177008</v>
      </c>
      <c r="K1372">
        <v>0.7645261027222688</v>
      </c>
      <c r="L1372">
        <v>1.007360439868339</v>
      </c>
      <c r="M1372">
        <v>124.21</v>
      </c>
      <c r="N1372">
        <v>66.04000000000001</v>
      </c>
    </row>
    <row r="1373" spans="1:14">
      <c r="A1373" s="1" t="s">
        <v>1385</v>
      </c>
      <c r="B1373">
        <f>HYPERLINK("https://www.suredividend.com/sure-analysis-research-database/","QCR Holding, Inc.")</f>
        <v>0</v>
      </c>
      <c r="C1373" t="s">
        <v>1923</v>
      </c>
      <c r="D1373">
        <v>49.35</v>
      </c>
      <c r="E1373">
        <v>0.004854525898291001</v>
      </c>
      <c r="F1373">
        <v>0</v>
      </c>
      <c r="G1373">
        <v>0</v>
      </c>
      <c r="H1373">
        <v>0.239570853080706</v>
      </c>
      <c r="I1373">
        <v>833.246078</v>
      </c>
      <c r="J1373">
        <v>0</v>
      </c>
      <c r="K1373" t="s">
        <v>1921</v>
      </c>
      <c r="L1373">
        <v>0.632286777240467</v>
      </c>
      <c r="M1373">
        <v>62.7</v>
      </c>
      <c r="N1373">
        <v>46.83</v>
      </c>
    </row>
    <row r="1374" spans="1:14">
      <c r="A1374" s="1" t="s">
        <v>1386</v>
      </c>
      <c r="B1374">
        <f>HYPERLINK("https://www.suredividend.com/sure-analysis-research-database/","Qualys Inc")</f>
        <v>0</v>
      </c>
      <c r="C1374" t="s">
        <v>1920</v>
      </c>
      <c r="D1374">
        <v>104.96</v>
      </c>
      <c r="E1374">
        <v>0</v>
      </c>
      <c r="F1374" t="s">
        <v>1921</v>
      </c>
      <c r="G1374" t="s">
        <v>1921</v>
      </c>
      <c r="H1374">
        <v>0</v>
      </c>
      <c r="I1374">
        <v>3987.223524</v>
      </c>
      <c r="J1374">
        <v>39.28802234611329</v>
      </c>
      <c r="K1374">
        <v>0</v>
      </c>
      <c r="L1374">
        <v>1.249127751668612</v>
      </c>
      <c r="M1374">
        <v>162.36</v>
      </c>
      <c r="N1374">
        <v>101.1</v>
      </c>
    </row>
    <row r="1375" spans="1:14">
      <c r="A1375" s="1" t="s">
        <v>1387</v>
      </c>
      <c r="B1375">
        <f>HYPERLINK("https://www.suredividend.com/sure-analysis-research-database/","Quantum Corp")</f>
        <v>0</v>
      </c>
      <c r="C1375" t="s">
        <v>1920</v>
      </c>
      <c r="D1375">
        <v>1.2</v>
      </c>
      <c r="E1375">
        <v>0</v>
      </c>
      <c r="F1375" t="s">
        <v>1921</v>
      </c>
      <c r="G1375" t="s">
        <v>1921</v>
      </c>
      <c r="H1375">
        <v>0</v>
      </c>
      <c r="I1375">
        <v>124.608002</v>
      </c>
      <c r="J1375" t="s">
        <v>1921</v>
      </c>
      <c r="K1375">
        <v>-0</v>
      </c>
      <c r="L1375">
        <v>1.394358274871526</v>
      </c>
      <c r="M1375">
        <v>5.67</v>
      </c>
      <c r="N1375">
        <v>1</v>
      </c>
    </row>
    <row r="1376" spans="1:14">
      <c r="A1376" s="1" t="s">
        <v>1388</v>
      </c>
      <c r="B1376">
        <f>HYPERLINK("https://www.suredividend.com/sure-analysis-research-database/","QuinStreet Inc")</f>
        <v>0</v>
      </c>
      <c r="C1376" t="s">
        <v>1931</v>
      </c>
      <c r="D1376">
        <v>14.86</v>
      </c>
      <c r="E1376">
        <v>0</v>
      </c>
      <c r="F1376" t="s">
        <v>1921</v>
      </c>
      <c r="G1376" t="s">
        <v>1921</v>
      </c>
      <c r="H1376">
        <v>0</v>
      </c>
      <c r="I1376">
        <v>797.0955709999999</v>
      </c>
      <c r="J1376" t="s">
        <v>1921</v>
      </c>
      <c r="K1376">
        <v>-0</v>
      </c>
      <c r="L1376">
        <v>0.885565413649242</v>
      </c>
      <c r="M1376">
        <v>17.83</v>
      </c>
      <c r="N1376">
        <v>8.279999999999999</v>
      </c>
    </row>
    <row r="1377" spans="1:14">
      <c r="A1377" s="1" t="s">
        <v>1389</v>
      </c>
      <c r="B1377">
        <f>HYPERLINK("https://www.suredividend.com/sure-analysis-research-database/","Quotient Ltd")</f>
        <v>0</v>
      </c>
      <c r="C1377" t="s">
        <v>1922</v>
      </c>
      <c r="D1377">
        <v>0.38</v>
      </c>
      <c r="E1377">
        <v>0</v>
      </c>
      <c r="F1377" t="s">
        <v>1921</v>
      </c>
      <c r="G1377" t="s">
        <v>1921</v>
      </c>
      <c r="H1377">
        <v>0</v>
      </c>
      <c r="I1377">
        <v>0</v>
      </c>
      <c r="J1377">
        <v>0</v>
      </c>
      <c r="K1377" t="s">
        <v>1921</v>
      </c>
    </row>
    <row r="1378" spans="1:14">
      <c r="A1378" s="1" t="s">
        <v>1390</v>
      </c>
      <c r="B1378">
        <f>HYPERLINK("https://www.suredividend.com/sure-analysis-research-database/","Quanterix Corp")</f>
        <v>0</v>
      </c>
      <c r="C1378" t="s">
        <v>1922</v>
      </c>
      <c r="D1378">
        <v>12.97</v>
      </c>
      <c r="E1378">
        <v>0</v>
      </c>
      <c r="F1378" t="s">
        <v>1921</v>
      </c>
      <c r="G1378" t="s">
        <v>1921</v>
      </c>
      <c r="H1378">
        <v>0</v>
      </c>
      <c r="I1378">
        <v>480.599524</v>
      </c>
      <c r="J1378" t="s">
        <v>1921</v>
      </c>
      <c r="K1378">
        <v>-0</v>
      </c>
      <c r="L1378">
        <v>2.048122066245313</v>
      </c>
      <c r="M1378">
        <v>36.17</v>
      </c>
      <c r="N1378">
        <v>6.31</v>
      </c>
    </row>
    <row r="1379" spans="1:14">
      <c r="A1379" s="1" t="s">
        <v>1391</v>
      </c>
      <c r="B1379">
        <f>HYPERLINK("https://www.suredividend.com/sure-analysis-research-database/","Q2 Holdings Inc")</f>
        <v>0</v>
      </c>
      <c r="C1379" t="s">
        <v>1920</v>
      </c>
      <c r="D1379">
        <v>29.96</v>
      </c>
      <c r="E1379">
        <v>0</v>
      </c>
      <c r="F1379" t="s">
        <v>1921</v>
      </c>
      <c r="G1379" t="s">
        <v>1921</v>
      </c>
      <c r="H1379">
        <v>0</v>
      </c>
      <c r="I1379">
        <v>1723.20896</v>
      </c>
      <c r="J1379" t="s">
        <v>1921</v>
      </c>
      <c r="K1379">
        <v>-0</v>
      </c>
      <c r="L1379">
        <v>1.793518439202511</v>
      </c>
      <c r="M1379">
        <v>77.2</v>
      </c>
      <c r="N1379">
        <v>20.93</v>
      </c>
    </row>
    <row r="1380" spans="1:14">
      <c r="A1380" s="1" t="s">
        <v>1392</v>
      </c>
      <c r="B1380">
        <f>HYPERLINK("https://www.suredividend.com/sure-analysis-research-database/","Quotient Technology Inc")</f>
        <v>0</v>
      </c>
      <c r="C1380" t="s">
        <v>1931</v>
      </c>
      <c r="D1380">
        <v>3.19</v>
      </c>
      <c r="E1380">
        <v>0</v>
      </c>
      <c r="F1380" t="s">
        <v>1921</v>
      </c>
      <c r="G1380" t="s">
        <v>1921</v>
      </c>
      <c r="H1380">
        <v>0</v>
      </c>
      <c r="I1380">
        <v>308.471577</v>
      </c>
      <c r="J1380" t="s">
        <v>1921</v>
      </c>
      <c r="K1380">
        <v>-0</v>
      </c>
      <c r="L1380">
        <v>1.423798468102854</v>
      </c>
      <c r="M1380">
        <v>7.92</v>
      </c>
      <c r="N1380">
        <v>1.68</v>
      </c>
    </row>
    <row r="1381" spans="1:14">
      <c r="A1381" s="1" t="s">
        <v>1393</v>
      </c>
      <c r="B1381">
        <f>HYPERLINK("https://www.suredividend.com/sure-analysis-research-database/","Rite Aid Corp.")</f>
        <v>0</v>
      </c>
      <c r="C1381" t="s">
        <v>1922</v>
      </c>
      <c r="D1381">
        <v>3.48</v>
      </c>
      <c r="E1381">
        <v>0</v>
      </c>
      <c r="F1381" t="s">
        <v>1921</v>
      </c>
      <c r="G1381" t="s">
        <v>1921</v>
      </c>
      <c r="H1381">
        <v>0</v>
      </c>
      <c r="I1381">
        <v>196.701272</v>
      </c>
      <c r="J1381" t="s">
        <v>1921</v>
      </c>
      <c r="K1381">
        <v>-0</v>
      </c>
      <c r="L1381">
        <v>1.783527094730224</v>
      </c>
      <c r="M1381">
        <v>13.5</v>
      </c>
      <c r="N1381">
        <v>3.2</v>
      </c>
    </row>
    <row r="1382" spans="1:14">
      <c r="A1382" s="1" t="s">
        <v>1394</v>
      </c>
      <c r="B1382">
        <f>HYPERLINK("https://www.suredividend.com/sure-analysis-research-database/","Radius Global Infrastructure Inc")</f>
        <v>0</v>
      </c>
      <c r="C1382" t="s">
        <v>1921</v>
      </c>
      <c r="D1382">
        <v>11.76</v>
      </c>
      <c r="E1382">
        <v>0</v>
      </c>
      <c r="F1382" t="s">
        <v>1921</v>
      </c>
      <c r="G1382" t="s">
        <v>1921</v>
      </c>
      <c r="H1382">
        <v>0</v>
      </c>
      <c r="I1382">
        <v>1120.534701</v>
      </c>
      <c r="J1382">
        <v>0</v>
      </c>
      <c r="K1382" t="s">
        <v>1921</v>
      </c>
      <c r="L1382">
        <v>1.257480379707357</v>
      </c>
      <c r="M1382">
        <v>16.52</v>
      </c>
      <c r="N1382">
        <v>7.97</v>
      </c>
    </row>
    <row r="1383" spans="1:14">
      <c r="A1383" s="1" t="s">
        <v>1395</v>
      </c>
      <c r="B1383">
        <f>HYPERLINK("https://www.suredividend.com/sure-analysis-research-database/","Rain Oncology Inc")</f>
        <v>0</v>
      </c>
      <c r="C1383" t="s">
        <v>1921</v>
      </c>
      <c r="D1383">
        <v>11.61</v>
      </c>
      <c r="E1383">
        <v>0</v>
      </c>
      <c r="F1383" t="s">
        <v>1921</v>
      </c>
      <c r="G1383" t="s">
        <v>1921</v>
      </c>
      <c r="H1383">
        <v>0</v>
      </c>
      <c r="I1383">
        <v>218.701703</v>
      </c>
      <c r="J1383">
        <v>0</v>
      </c>
      <c r="K1383" t="s">
        <v>1921</v>
      </c>
      <c r="L1383">
        <v>1.183962806408172</v>
      </c>
      <c r="M1383">
        <v>13.22</v>
      </c>
      <c r="N1383">
        <v>2.15</v>
      </c>
    </row>
    <row r="1384" spans="1:14">
      <c r="A1384" s="1" t="s">
        <v>1396</v>
      </c>
      <c r="B1384">
        <f>HYPERLINK("https://www.suredividend.com/sure-analysis-research-database/","LiveRamp Holdings Inc")</f>
        <v>0</v>
      </c>
      <c r="C1384" t="s">
        <v>1920</v>
      </c>
      <c r="D1384">
        <v>23.21</v>
      </c>
      <c r="E1384">
        <v>0</v>
      </c>
      <c r="F1384" t="s">
        <v>1921</v>
      </c>
      <c r="G1384" t="s">
        <v>1921</v>
      </c>
      <c r="H1384">
        <v>0</v>
      </c>
      <c r="I1384">
        <v>1542.916246</v>
      </c>
      <c r="J1384" t="s">
        <v>1921</v>
      </c>
      <c r="K1384">
        <v>-0</v>
      </c>
      <c r="L1384">
        <v>1.24609944598666</v>
      </c>
      <c r="M1384">
        <v>48.13</v>
      </c>
      <c r="N1384">
        <v>15.37</v>
      </c>
    </row>
    <row r="1385" spans="1:14">
      <c r="A1385" s="1" t="s">
        <v>1397</v>
      </c>
      <c r="B1385">
        <f>HYPERLINK("https://www.suredividend.com/sure-analysis-research-database/","RAPT Therapeutics Inc")</f>
        <v>0</v>
      </c>
      <c r="C1385" t="s">
        <v>1922</v>
      </c>
      <c r="D1385">
        <v>21.17</v>
      </c>
      <c r="E1385">
        <v>0</v>
      </c>
      <c r="F1385" t="s">
        <v>1921</v>
      </c>
      <c r="G1385" t="s">
        <v>1921</v>
      </c>
      <c r="H1385">
        <v>0</v>
      </c>
      <c r="I1385">
        <v>633.2127369999999</v>
      </c>
      <c r="J1385">
        <v>0</v>
      </c>
      <c r="K1385" t="s">
        <v>1921</v>
      </c>
      <c r="L1385">
        <v>2.061002803248668</v>
      </c>
      <c r="M1385">
        <v>33.96</v>
      </c>
      <c r="N1385">
        <v>9.859999999999999</v>
      </c>
    </row>
    <row r="1386" spans="1:14">
      <c r="A1386" s="1" t="s">
        <v>1398</v>
      </c>
      <c r="B1386">
        <f>HYPERLINK("https://www.suredividend.com/sure-analysis-research-database/","RBB Bancorp")</f>
        <v>0</v>
      </c>
      <c r="C1386" t="s">
        <v>1923</v>
      </c>
      <c r="D1386">
        <v>20.81</v>
      </c>
      <c r="E1386">
        <v>0.026660726920876</v>
      </c>
      <c r="F1386">
        <v>0.07692307692307709</v>
      </c>
      <c r="G1386">
        <v>0.1184269147201447</v>
      </c>
      <c r="H1386">
        <v>0.554809727223444</v>
      </c>
      <c r="I1386">
        <v>394.677799</v>
      </c>
      <c r="J1386">
        <v>6.328108492359986</v>
      </c>
      <c r="K1386">
        <v>0.1739215445841517</v>
      </c>
      <c r="L1386">
        <v>0.5886912667333191</v>
      </c>
      <c r="M1386">
        <v>28.4</v>
      </c>
      <c r="N1386">
        <v>19.26</v>
      </c>
    </row>
    <row r="1387" spans="1:14">
      <c r="A1387" s="1" t="s">
        <v>1399</v>
      </c>
      <c r="B1387">
        <f>HYPERLINK("https://www.suredividend.com/sure-analysis-research-database/","Ribbon Communications Inc")</f>
        <v>0</v>
      </c>
      <c r="C1387" t="s">
        <v>1931</v>
      </c>
      <c r="D1387">
        <v>2.93</v>
      </c>
      <c r="E1387">
        <v>0</v>
      </c>
      <c r="F1387" t="s">
        <v>1921</v>
      </c>
      <c r="G1387" t="s">
        <v>1921</v>
      </c>
      <c r="H1387">
        <v>0</v>
      </c>
      <c r="I1387">
        <v>492.600604</v>
      </c>
      <c r="J1387">
        <v>0</v>
      </c>
      <c r="K1387" t="s">
        <v>1921</v>
      </c>
      <c r="L1387">
        <v>1.570660926890344</v>
      </c>
      <c r="M1387">
        <v>6.42</v>
      </c>
      <c r="N1387">
        <v>2.19</v>
      </c>
    </row>
    <row r="1388" spans="1:14">
      <c r="A1388" s="1" t="s">
        <v>1400</v>
      </c>
      <c r="B1388">
        <f>HYPERLINK("https://www.suredividend.com/sure-analysis-RBCAA/","Republic Bancorp, Inc. (KY)")</f>
        <v>0</v>
      </c>
      <c r="C1388" t="s">
        <v>1923</v>
      </c>
      <c r="D1388">
        <v>41.33</v>
      </c>
      <c r="E1388">
        <v>0.03290587950641181</v>
      </c>
      <c r="F1388">
        <v>0.1071428571428572</v>
      </c>
      <c r="G1388">
        <v>0.07099588603959828</v>
      </c>
      <c r="H1388">
        <v>1.347486738668693</v>
      </c>
      <c r="I1388">
        <v>726.884762</v>
      </c>
      <c r="J1388">
        <v>8.249273814900983</v>
      </c>
      <c r="K1388">
        <v>0.3163114410020406</v>
      </c>
      <c r="L1388">
        <v>0.5054627442616051</v>
      </c>
      <c r="M1388">
        <v>50.91</v>
      </c>
      <c r="N1388">
        <v>37.86</v>
      </c>
    </row>
    <row r="1389" spans="1:14">
      <c r="A1389" s="1" t="s">
        <v>1401</v>
      </c>
      <c r="B1389">
        <f>HYPERLINK("https://www.suredividend.com/sure-analysis-research-database/","Ready Capital Corp")</f>
        <v>0</v>
      </c>
      <c r="C1389" t="s">
        <v>1929</v>
      </c>
      <c r="D1389">
        <v>11.3</v>
      </c>
      <c r="E1389">
        <v>0.174425406150603</v>
      </c>
      <c r="F1389">
        <v>-0.04761904761904756</v>
      </c>
      <c r="G1389">
        <v>0</v>
      </c>
      <c r="H1389">
        <v>1.971007089501824</v>
      </c>
      <c r="I1389">
        <v>1248.795431</v>
      </c>
      <c r="J1389">
        <v>5.564546078780857</v>
      </c>
      <c r="K1389">
        <v>0.9253554410806687</v>
      </c>
      <c r="L1389">
        <v>0.885103201585532</v>
      </c>
      <c r="M1389">
        <v>14.23</v>
      </c>
      <c r="N1389">
        <v>9.35</v>
      </c>
    </row>
    <row r="1390" spans="1:14">
      <c r="A1390" s="1" t="s">
        <v>1402</v>
      </c>
      <c r="B1390">
        <f>HYPERLINK("https://www.suredividend.com/sure-analysis-research-database/","AVITA Medical Inc")</f>
        <v>0</v>
      </c>
      <c r="C1390" t="s">
        <v>1922</v>
      </c>
      <c r="D1390">
        <v>7.18</v>
      </c>
      <c r="E1390">
        <v>0</v>
      </c>
      <c r="F1390" t="s">
        <v>1921</v>
      </c>
      <c r="G1390" t="s">
        <v>1921</v>
      </c>
      <c r="H1390">
        <v>0</v>
      </c>
      <c r="I1390">
        <v>179.721876</v>
      </c>
      <c r="J1390">
        <v>0</v>
      </c>
      <c r="K1390" t="s">
        <v>1921</v>
      </c>
      <c r="L1390">
        <v>1.398403439704278</v>
      </c>
      <c r="M1390">
        <v>11.29</v>
      </c>
      <c r="N1390">
        <v>4.41</v>
      </c>
    </row>
    <row r="1391" spans="1:14">
      <c r="A1391" s="1" t="s">
        <v>1403</v>
      </c>
      <c r="B1391">
        <f>HYPERLINK("https://www.suredividend.com/sure-analysis-research-database/","Rent-a-Center Inc.")</f>
        <v>0</v>
      </c>
      <c r="C1391" t="s">
        <v>1924</v>
      </c>
      <c r="D1391">
        <v>24.27</v>
      </c>
      <c r="E1391">
        <v>0.05465613382241</v>
      </c>
      <c r="F1391" t="s">
        <v>1921</v>
      </c>
      <c r="G1391" t="s">
        <v>1921</v>
      </c>
      <c r="H1391">
        <v>1.326504367869895</v>
      </c>
      <c r="I1391">
        <v>1351.112065</v>
      </c>
      <c r="J1391">
        <v>0</v>
      </c>
      <c r="K1391" t="s">
        <v>1921</v>
      </c>
      <c r="L1391">
        <v>1.346804141467917</v>
      </c>
      <c r="M1391">
        <v>44.04</v>
      </c>
      <c r="N1391">
        <v>16.57</v>
      </c>
    </row>
    <row r="1392" spans="1:14">
      <c r="A1392" s="1" t="s">
        <v>1404</v>
      </c>
      <c r="B1392">
        <f>HYPERLINK("https://www.suredividend.com/sure-analysis-research-database/","Rocket Pharmaceuticals Inc")</f>
        <v>0</v>
      </c>
      <c r="C1392" t="s">
        <v>1922</v>
      </c>
      <c r="D1392">
        <v>18.8</v>
      </c>
      <c r="E1392">
        <v>0</v>
      </c>
      <c r="F1392" t="s">
        <v>1921</v>
      </c>
      <c r="G1392" t="s">
        <v>1921</v>
      </c>
      <c r="H1392">
        <v>0</v>
      </c>
      <c r="I1392">
        <v>1422.867152</v>
      </c>
      <c r="J1392">
        <v>0</v>
      </c>
      <c r="K1392" t="s">
        <v>1921</v>
      </c>
      <c r="L1392">
        <v>2.040877697380764</v>
      </c>
      <c r="M1392">
        <v>23.48</v>
      </c>
      <c r="N1392">
        <v>7.57</v>
      </c>
    </row>
    <row r="1393" spans="1:14">
      <c r="A1393" s="1" t="s">
        <v>1405</v>
      </c>
      <c r="B1393">
        <f>HYPERLINK("https://www.suredividend.com/sure-analysis-research-database/","Rocky Brands, Inc")</f>
        <v>0</v>
      </c>
      <c r="C1393" t="s">
        <v>1927</v>
      </c>
      <c r="D1393">
        <v>28.01</v>
      </c>
      <c r="E1393">
        <v>0.021976686858606</v>
      </c>
      <c r="F1393">
        <v>0</v>
      </c>
      <c r="G1393">
        <v>0.07099588603959828</v>
      </c>
      <c r="H1393">
        <v>0.615566998909571</v>
      </c>
      <c r="I1393">
        <v>205.212772</v>
      </c>
      <c r="J1393">
        <v>0</v>
      </c>
      <c r="K1393" t="s">
        <v>1921</v>
      </c>
      <c r="L1393">
        <v>1.309904298182391</v>
      </c>
      <c r="M1393">
        <v>48.35</v>
      </c>
      <c r="N1393">
        <v>17.9</v>
      </c>
    </row>
    <row r="1394" spans="1:14">
      <c r="A1394" s="1" t="s">
        <v>1406</v>
      </c>
      <c r="B1394">
        <f>HYPERLINK("https://www.suredividend.com/sure-analysis-research-database/","R1 RCM Inc.")</f>
        <v>0</v>
      </c>
      <c r="C1394" t="s">
        <v>1922</v>
      </c>
      <c r="D1394">
        <v>12.47</v>
      </c>
      <c r="E1394">
        <v>0</v>
      </c>
      <c r="F1394" t="s">
        <v>1921</v>
      </c>
      <c r="G1394" t="s">
        <v>1921</v>
      </c>
      <c r="H1394">
        <v>0</v>
      </c>
      <c r="I1394">
        <v>3487.859</v>
      </c>
      <c r="J1394">
        <v>335.0897031780645</v>
      </c>
      <c r="K1394">
        <v>0</v>
      </c>
      <c r="M1394">
        <v>27.07</v>
      </c>
      <c r="N1394">
        <v>6.71</v>
      </c>
    </row>
    <row r="1395" spans="1:14">
      <c r="A1395" s="1" t="s">
        <v>1407</v>
      </c>
      <c r="B1395">
        <f>HYPERLINK("https://www.suredividend.com/sure-analysis-research-database/","Arcus Biosciences Inc")</f>
        <v>0</v>
      </c>
      <c r="C1395" t="s">
        <v>1922</v>
      </c>
      <c r="D1395">
        <v>17.51</v>
      </c>
      <c r="E1395">
        <v>0</v>
      </c>
      <c r="F1395" t="s">
        <v>1921</v>
      </c>
      <c r="G1395" t="s">
        <v>1921</v>
      </c>
      <c r="H1395">
        <v>0</v>
      </c>
      <c r="I1395">
        <v>1267.858932</v>
      </c>
      <c r="J1395">
        <v>0</v>
      </c>
      <c r="K1395" t="s">
        <v>1921</v>
      </c>
      <c r="L1395">
        <v>1.618269418931962</v>
      </c>
      <c r="M1395">
        <v>39.93</v>
      </c>
      <c r="N1395">
        <v>16.74</v>
      </c>
    </row>
    <row r="1396" spans="1:14">
      <c r="A1396" s="1" t="s">
        <v>1408</v>
      </c>
      <c r="B1396">
        <f>HYPERLINK("https://www.suredividend.com/sure-analysis-research-database/","Redfin Corp")</f>
        <v>0</v>
      </c>
      <c r="C1396" t="s">
        <v>1929</v>
      </c>
      <c r="D1396">
        <v>5.15</v>
      </c>
      <c r="E1396">
        <v>0</v>
      </c>
      <c r="F1396" t="s">
        <v>1921</v>
      </c>
      <c r="G1396" t="s">
        <v>1921</v>
      </c>
      <c r="H1396">
        <v>0</v>
      </c>
      <c r="I1396">
        <v>560.055898</v>
      </c>
      <c r="J1396" t="s">
        <v>1921</v>
      </c>
      <c r="K1396">
        <v>-0</v>
      </c>
      <c r="L1396">
        <v>2.532899811984387</v>
      </c>
      <c r="M1396">
        <v>35.89</v>
      </c>
      <c r="N1396">
        <v>3.08</v>
      </c>
    </row>
    <row r="1397" spans="1:14">
      <c r="A1397" s="1" t="s">
        <v>1409</v>
      </c>
      <c r="B1397">
        <f>HYPERLINK("https://www.suredividend.com/sure-analysis-research-database/","Radian Group, Inc.")</f>
        <v>0</v>
      </c>
      <c r="C1397" t="s">
        <v>1923</v>
      </c>
      <c r="D1397">
        <v>18.82</v>
      </c>
      <c r="E1397">
        <v>0.04189513452437901</v>
      </c>
      <c r="F1397">
        <v>0.4285714285714286</v>
      </c>
      <c r="G1397">
        <v>1.402248867962863</v>
      </c>
      <c r="H1397">
        <v>0.788466431748827</v>
      </c>
      <c r="I1397">
        <v>2955.218611</v>
      </c>
      <c r="J1397">
        <v>3.817870201266328</v>
      </c>
      <c r="K1397">
        <v>0.1787905740927045</v>
      </c>
      <c r="L1397">
        <v>0.7659816969565181</v>
      </c>
      <c r="M1397">
        <v>24.14</v>
      </c>
      <c r="N1397">
        <v>17.63</v>
      </c>
    </row>
    <row r="1398" spans="1:14">
      <c r="A1398" s="1" t="s">
        <v>1410</v>
      </c>
      <c r="B1398">
        <f>HYPERLINK("https://www.suredividend.com/sure-analysis-research-database/","Radnet Inc")</f>
        <v>0</v>
      </c>
      <c r="C1398" t="s">
        <v>1922</v>
      </c>
      <c r="D1398">
        <v>19</v>
      </c>
      <c r="E1398">
        <v>0</v>
      </c>
      <c r="F1398" t="s">
        <v>1921</v>
      </c>
      <c r="G1398" t="s">
        <v>1921</v>
      </c>
      <c r="H1398">
        <v>0</v>
      </c>
      <c r="I1398">
        <v>1089.85615</v>
      </c>
      <c r="J1398">
        <v>140.4091922185004</v>
      </c>
      <c r="K1398">
        <v>0</v>
      </c>
      <c r="L1398">
        <v>1.286849335218043</v>
      </c>
      <c r="M1398">
        <v>29.24</v>
      </c>
      <c r="N1398">
        <v>12.03</v>
      </c>
    </row>
    <row r="1399" spans="1:14">
      <c r="A1399" s="1" t="s">
        <v>1411</v>
      </c>
      <c r="B1399">
        <f>HYPERLINK("https://www.suredividend.com/sure-analysis-research-database/","Radius Health Inc.")</f>
        <v>0</v>
      </c>
      <c r="C1399" t="s">
        <v>1922</v>
      </c>
      <c r="D1399">
        <v>10.08</v>
      </c>
      <c r="E1399">
        <v>0</v>
      </c>
      <c r="F1399" t="s">
        <v>1921</v>
      </c>
      <c r="G1399" t="s">
        <v>1921</v>
      </c>
      <c r="H1399">
        <v>0</v>
      </c>
      <c r="I1399">
        <v>0</v>
      </c>
      <c r="J1399">
        <v>0</v>
      </c>
      <c r="K1399">
        <v>-0</v>
      </c>
    </row>
    <row r="1400" spans="1:14">
      <c r="A1400" s="1" t="s">
        <v>1412</v>
      </c>
      <c r="B1400">
        <f>HYPERLINK("https://www.suredividend.com/sure-analysis-research-database/","Therealreal Inc")</f>
        <v>0</v>
      </c>
      <c r="C1400" t="s">
        <v>1927</v>
      </c>
      <c r="D1400">
        <v>1.17</v>
      </c>
      <c r="E1400">
        <v>0</v>
      </c>
      <c r="F1400" t="s">
        <v>1921</v>
      </c>
      <c r="G1400" t="s">
        <v>1921</v>
      </c>
      <c r="H1400">
        <v>0</v>
      </c>
      <c r="I1400">
        <v>114.736963</v>
      </c>
      <c r="J1400" t="s">
        <v>1921</v>
      </c>
      <c r="K1400">
        <v>-0</v>
      </c>
      <c r="L1400">
        <v>3.139373995302133</v>
      </c>
      <c r="M1400">
        <v>12.5</v>
      </c>
      <c r="N1400">
        <v>1.04</v>
      </c>
    </row>
    <row r="1401" spans="1:14">
      <c r="A1401" s="1" t="s">
        <v>1413</v>
      </c>
      <c r="B1401">
        <f>HYPERLINK("https://www.suredividend.com/sure-analysis-research-database/","Chicago Atlantic Real Estate Finance Inc")</f>
        <v>0</v>
      </c>
      <c r="C1401" t="s">
        <v>1921</v>
      </c>
      <c r="D1401">
        <v>15.23</v>
      </c>
      <c r="E1401">
        <v>0.144614951683364</v>
      </c>
      <c r="F1401" t="s">
        <v>1921</v>
      </c>
      <c r="G1401" t="s">
        <v>1921</v>
      </c>
      <c r="H1401">
        <v>2.202485714137635</v>
      </c>
      <c r="I1401">
        <v>268.930015</v>
      </c>
      <c r="J1401">
        <v>0</v>
      </c>
      <c r="K1401" t="s">
        <v>1921</v>
      </c>
      <c r="L1401">
        <v>0.343947425348443</v>
      </c>
      <c r="M1401">
        <v>18.11</v>
      </c>
      <c r="N1401">
        <v>13.03</v>
      </c>
    </row>
    <row r="1402" spans="1:14">
      <c r="A1402" s="1" t="s">
        <v>1414</v>
      </c>
      <c r="B1402">
        <f>HYPERLINK("https://www.suredividend.com/sure-analysis-research-database/","Renewable Energy Group Inc")</f>
        <v>0</v>
      </c>
      <c r="C1402" t="s">
        <v>1926</v>
      </c>
      <c r="D1402">
        <v>61.5</v>
      </c>
      <c r="E1402">
        <v>0</v>
      </c>
      <c r="F1402" t="s">
        <v>1921</v>
      </c>
      <c r="G1402" t="s">
        <v>1921</v>
      </c>
      <c r="H1402">
        <v>0</v>
      </c>
      <c r="I1402">
        <v>0</v>
      </c>
      <c r="J1402">
        <v>0</v>
      </c>
      <c r="K1402">
        <v>0</v>
      </c>
    </row>
    <row r="1403" spans="1:14">
      <c r="A1403" s="1" t="s">
        <v>1415</v>
      </c>
      <c r="B1403">
        <f>HYPERLINK("https://www.suredividend.com/sure-analysis-research-database/","Rekor Systems Inc")</f>
        <v>0</v>
      </c>
      <c r="C1403" t="s">
        <v>1924</v>
      </c>
      <c r="D1403">
        <v>1.3</v>
      </c>
      <c r="E1403">
        <v>0</v>
      </c>
      <c r="F1403" t="s">
        <v>1921</v>
      </c>
      <c r="G1403" t="s">
        <v>1921</v>
      </c>
      <c r="H1403">
        <v>0</v>
      </c>
      <c r="I1403">
        <v>69.666749</v>
      </c>
      <c r="J1403">
        <v>0</v>
      </c>
      <c r="K1403" t="s">
        <v>1921</v>
      </c>
      <c r="L1403">
        <v>2.16765644706099</v>
      </c>
      <c r="M1403">
        <v>6.45</v>
      </c>
      <c r="N1403">
        <v>0.5624</v>
      </c>
    </row>
    <row r="1404" spans="1:14">
      <c r="A1404" s="1" t="s">
        <v>1416</v>
      </c>
      <c r="B1404">
        <f>HYPERLINK("https://www.suredividend.com/sure-analysis-research-database/","Remitly Global Inc")</f>
        <v>0</v>
      </c>
      <c r="C1404" t="s">
        <v>1921</v>
      </c>
      <c r="D1404">
        <v>11.61</v>
      </c>
      <c r="E1404">
        <v>0</v>
      </c>
      <c r="F1404" t="s">
        <v>1921</v>
      </c>
      <c r="G1404" t="s">
        <v>1921</v>
      </c>
      <c r="H1404">
        <v>0</v>
      </c>
      <c r="I1404">
        <v>1981.406753</v>
      </c>
      <c r="J1404">
        <v>0</v>
      </c>
      <c r="K1404" t="s">
        <v>1921</v>
      </c>
      <c r="L1404">
        <v>1.672254900262177</v>
      </c>
      <c r="M1404">
        <v>16.82</v>
      </c>
      <c r="N1404">
        <v>6.66</v>
      </c>
    </row>
    <row r="1405" spans="1:14">
      <c r="A1405" s="1" t="s">
        <v>1417</v>
      </c>
      <c r="B1405">
        <f>HYPERLINK("https://www.suredividend.com/sure-analysis-research-database/","Rent the Runway Inc")</f>
        <v>0</v>
      </c>
      <c r="C1405" t="s">
        <v>1921</v>
      </c>
      <c r="D1405">
        <v>3.8</v>
      </c>
      <c r="E1405">
        <v>0</v>
      </c>
      <c r="F1405" t="s">
        <v>1921</v>
      </c>
      <c r="G1405" t="s">
        <v>1921</v>
      </c>
      <c r="H1405">
        <v>0</v>
      </c>
      <c r="I1405">
        <v>235.434837</v>
      </c>
      <c r="J1405">
        <v>0</v>
      </c>
      <c r="K1405" t="s">
        <v>1921</v>
      </c>
      <c r="L1405">
        <v>2.345174943030187</v>
      </c>
      <c r="M1405">
        <v>7.49</v>
      </c>
      <c r="N1405">
        <v>1.1</v>
      </c>
    </row>
    <row r="1406" spans="1:14">
      <c r="A1406" s="1" t="s">
        <v>1418</v>
      </c>
      <c r="B1406">
        <f>HYPERLINK("https://www.suredividend.com/sure-analysis-research-database/","Replimune Group Inc")</f>
        <v>0</v>
      </c>
      <c r="C1406" t="s">
        <v>1922</v>
      </c>
      <c r="D1406">
        <v>25.49</v>
      </c>
      <c r="E1406">
        <v>0</v>
      </c>
      <c r="F1406" t="s">
        <v>1921</v>
      </c>
      <c r="G1406" t="s">
        <v>1921</v>
      </c>
      <c r="H1406">
        <v>0</v>
      </c>
      <c r="I1406">
        <v>1267.857484</v>
      </c>
      <c r="J1406">
        <v>0</v>
      </c>
      <c r="K1406" t="s">
        <v>1921</v>
      </c>
      <c r="L1406">
        <v>1.189717475305657</v>
      </c>
      <c r="M1406">
        <v>28.5</v>
      </c>
      <c r="N1406">
        <v>13.05</v>
      </c>
    </row>
    <row r="1407" spans="1:14">
      <c r="A1407" s="1" t="s">
        <v>1419</v>
      </c>
      <c r="B1407">
        <f>HYPERLINK("https://www.suredividend.com/sure-analysis-research-database/","Riley Exploration Permian Inc.")</f>
        <v>0</v>
      </c>
      <c r="C1407" t="s">
        <v>1921</v>
      </c>
      <c r="D1407">
        <v>27.68</v>
      </c>
      <c r="E1407">
        <v>0.04506859235550401</v>
      </c>
      <c r="F1407" t="s">
        <v>1921</v>
      </c>
      <c r="G1407" t="s">
        <v>1921</v>
      </c>
      <c r="H1407">
        <v>1.247498636400366</v>
      </c>
      <c r="I1407">
        <v>549.908512</v>
      </c>
      <c r="J1407">
        <v>0</v>
      </c>
      <c r="K1407" t="s">
        <v>1921</v>
      </c>
      <c r="L1407">
        <v>1.408074454977286</v>
      </c>
      <c r="M1407">
        <v>34.71</v>
      </c>
      <c r="N1407">
        <v>15.71</v>
      </c>
    </row>
    <row r="1408" spans="1:14">
      <c r="A1408" s="1" t="s">
        <v>1420</v>
      </c>
      <c r="B1408">
        <f>HYPERLINK("https://www.suredividend.com/sure-analysis-research-database/","RPC, Inc.")</f>
        <v>0</v>
      </c>
      <c r="C1408" t="s">
        <v>1926</v>
      </c>
      <c r="D1408">
        <v>9.550000000000001</v>
      </c>
      <c r="E1408">
        <v>0.00418452176563</v>
      </c>
      <c r="F1408" t="s">
        <v>1921</v>
      </c>
      <c r="G1408" t="s">
        <v>1921</v>
      </c>
      <c r="H1408">
        <v>0.039962182861768</v>
      </c>
      <c r="I1408">
        <v>2068.827387</v>
      </c>
      <c r="J1408">
        <v>14.40607338727648</v>
      </c>
      <c r="K1408">
        <v>0.05933508962400594</v>
      </c>
      <c r="L1408">
        <v>0.90190028690207</v>
      </c>
      <c r="M1408">
        <v>12.85</v>
      </c>
      <c r="N1408">
        <v>5.14</v>
      </c>
    </row>
    <row r="1409" spans="1:14">
      <c r="A1409" s="1" t="s">
        <v>1421</v>
      </c>
      <c r="B1409">
        <f>HYPERLINK("https://www.suredividend.com/sure-analysis-research-database/","Reata Pharmaceuticals Inc")</f>
        <v>0</v>
      </c>
      <c r="C1409" t="s">
        <v>1922</v>
      </c>
      <c r="D1409">
        <v>38</v>
      </c>
      <c r="E1409">
        <v>0</v>
      </c>
      <c r="F1409" t="s">
        <v>1921</v>
      </c>
      <c r="G1409" t="s">
        <v>1921</v>
      </c>
      <c r="H1409">
        <v>0</v>
      </c>
      <c r="I1409">
        <v>1205.751666</v>
      </c>
      <c r="J1409" t="s">
        <v>1921</v>
      </c>
      <c r="K1409">
        <v>-0</v>
      </c>
      <c r="L1409">
        <v>1.257723263935163</v>
      </c>
      <c r="M1409">
        <v>43.9</v>
      </c>
      <c r="N1409">
        <v>18.47</v>
      </c>
    </row>
    <row r="1410" spans="1:14">
      <c r="A1410" s="1" t="s">
        <v>1422</v>
      </c>
      <c r="B1410">
        <f>HYPERLINK("https://www.suredividend.com/sure-analysis-research-database/","Revlon, Inc.")</f>
        <v>0</v>
      </c>
      <c r="C1410" t="s">
        <v>1928</v>
      </c>
      <c r="D1410">
        <v>3.8999</v>
      </c>
      <c r="E1410">
        <v>0</v>
      </c>
      <c r="F1410" t="s">
        <v>1921</v>
      </c>
      <c r="G1410" t="s">
        <v>1921</v>
      </c>
      <c r="H1410">
        <v>0</v>
      </c>
      <c r="I1410">
        <v>211.693011</v>
      </c>
      <c r="J1410" t="s">
        <v>1921</v>
      </c>
      <c r="K1410">
        <v>-0</v>
      </c>
      <c r="L1410">
        <v>2.232919751231036</v>
      </c>
      <c r="M1410">
        <v>17.65</v>
      </c>
      <c r="N1410">
        <v>1.08</v>
      </c>
    </row>
    <row r="1411" spans="1:14">
      <c r="A1411" s="1" t="s">
        <v>1423</v>
      </c>
      <c r="B1411">
        <f>HYPERLINK("https://www.suredividend.com/sure-analysis-research-database/","REV Group Inc")</f>
        <v>0</v>
      </c>
      <c r="C1411" t="s">
        <v>1924</v>
      </c>
      <c r="D1411">
        <v>13.22</v>
      </c>
      <c r="E1411">
        <v>0.015034682666557</v>
      </c>
      <c r="F1411" t="s">
        <v>1921</v>
      </c>
      <c r="G1411" t="s">
        <v>1921</v>
      </c>
      <c r="H1411">
        <v>0.198758504851885</v>
      </c>
      <c r="I1411">
        <v>791.307081</v>
      </c>
      <c r="J1411" t="s">
        <v>1921</v>
      </c>
      <c r="K1411" t="s">
        <v>1921</v>
      </c>
      <c r="L1411">
        <v>1.085221203809584</v>
      </c>
      <c r="M1411">
        <v>16.32</v>
      </c>
      <c r="N1411">
        <v>9.380000000000001</v>
      </c>
    </row>
    <row r="1412" spans="1:14">
      <c r="A1412" s="1" t="s">
        <v>1424</v>
      </c>
      <c r="B1412">
        <f>HYPERLINK("https://www.suredividend.com/sure-analysis-research-database/","REX American Resources Corp")</f>
        <v>0</v>
      </c>
      <c r="C1412" t="s">
        <v>1926</v>
      </c>
      <c r="D1412">
        <v>30.32</v>
      </c>
      <c r="E1412">
        <v>0</v>
      </c>
      <c r="F1412" t="s">
        <v>1921</v>
      </c>
      <c r="G1412" t="s">
        <v>1921</v>
      </c>
      <c r="H1412">
        <v>0</v>
      </c>
      <c r="I1412">
        <v>527.2790199999999</v>
      </c>
      <c r="J1412">
        <v>12.87239441628827</v>
      </c>
      <c r="K1412">
        <v>0</v>
      </c>
      <c r="L1412">
        <v>0.87915338532495</v>
      </c>
      <c r="M1412">
        <v>36.49</v>
      </c>
      <c r="N1412">
        <v>26.05</v>
      </c>
    </row>
    <row r="1413" spans="1:14">
      <c r="A1413" s="1" t="s">
        <v>1425</v>
      </c>
      <c r="B1413">
        <f>HYPERLINK("https://www.suredividend.com/sure-analysis-research-database/","Resideo Technologies Inc")</f>
        <v>0</v>
      </c>
      <c r="C1413" t="s">
        <v>1924</v>
      </c>
      <c r="D1413">
        <v>17.58</v>
      </c>
      <c r="E1413">
        <v>0</v>
      </c>
      <c r="F1413" t="s">
        <v>1921</v>
      </c>
      <c r="G1413" t="s">
        <v>1921</v>
      </c>
      <c r="H1413">
        <v>0</v>
      </c>
      <c r="I1413">
        <v>2563.935041</v>
      </c>
      <c r="J1413">
        <v>8.244164119678455</v>
      </c>
      <c r="K1413">
        <v>0</v>
      </c>
      <c r="L1413">
        <v>1.441534900320909</v>
      </c>
      <c r="M1413">
        <v>27.07</v>
      </c>
      <c r="N1413">
        <v>14.95</v>
      </c>
    </row>
    <row r="1414" spans="1:14">
      <c r="A1414" s="1" t="s">
        <v>1426</v>
      </c>
      <c r="B1414">
        <f>HYPERLINK("https://www.suredividend.com/sure-analysis-research-database/","Rafael Holdings Inc")</f>
        <v>0</v>
      </c>
      <c r="C1414" t="s">
        <v>1922</v>
      </c>
      <c r="D1414">
        <v>1.99</v>
      </c>
      <c r="E1414">
        <v>0</v>
      </c>
      <c r="F1414" t="s">
        <v>1921</v>
      </c>
      <c r="G1414" t="s">
        <v>1921</v>
      </c>
      <c r="H1414">
        <v>0</v>
      </c>
      <c r="I1414">
        <v>47.134127</v>
      </c>
      <c r="J1414">
        <v>0</v>
      </c>
      <c r="K1414" t="s">
        <v>1921</v>
      </c>
      <c r="L1414">
        <v>1.160517982248617</v>
      </c>
      <c r="M1414">
        <v>5.2</v>
      </c>
      <c r="N1414">
        <v>1.6</v>
      </c>
    </row>
    <row r="1415" spans="1:14">
      <c r="A1415" s="1" t="s">
        <v>1427</v>
      </c>
      <c r="B1415">
        <f>HYPERLINK("https://www.suredividend.com/sure-analysis-research-database/","Regenxbio Inc")</f>
        <v>0</v>
      </c>
      <c r="C1415" t="s">
        <v>1922</v>
      </c>
      <c r="D1415">
        <v>21.86</v>
      </c>
      <c r="E1415">
        <v>0</v>
      </c>
      <c r="F1415" t="s">
        <v>1921</v>
      </c>
      <c r="G1415" t="s">
        <v>1921</v>
      </c>
      <c r="H1415">
        <v>0</v>
      </c>
      <c r="I1415">
        <v>946.398774</v>
      </c>
      <c r="J1415">
        <v>12.8522179564621</v>
      </c>
      <c r="K1415">
        <v>0</v>
      </c>
      <c r="L1415">
        <v>1.357668788821639</v>
      </c>
      <c r="M1415">
        <v>35.73</v>
      </c>
      <c r="N1415">
        <v>18.69</v>
      </c>
    </row>
    <row r="1416" spans="1:14">
      <c r="A1416" s="1" t="s">
        <v>1428</v>
      </c>
      <c r="B1416">
        <f>HYPERLINK("https://www.suredividend.com/sure-analysis-research-database/","Resources Connection Inc")</f>
        <v>0</v>
      </c>
      <c r="C1416" t="s">
        <v>1924</v>
      </c>
      <c r="D1416">
        <v>17.04</v>
      </c>
      <c r="E1416">
        <v>0.032505861089471</v>
      </c>
      <c r="F1416">
        <v>0</v>
      </c>
      <c r="G1416">
        <v>0.03131030647754507</v>
      </c>
      <c r="H1416">
        <v>0.5538998729645951</v>
      </c>
      <c r="I1416">
        <v>573.12808</v>
      </c>
      <c r="J1416">
        <v>7.589190535891629</v>
      </c>
      <c r="K1416">
        <v>0.248385593257666</v>
      </c>
      <c r="L1416">
        <v>0.8731540100011661</v>
      </c>
      <c r="M1416">
        <v>22.86</v>
      </c>
      <c r="N1416">
        <v>15.38</v>
      </c>
    </row>
    <row r="1417" spans="1:14">
      <c r="A1417" s="1" t="s">
        <v>1429</v>
      </c>
      <c r="B1417">
        <f>HYPERLINK("https://www.suredividend.com/sure-analysis-research-database/","Sturm, Ruger &amp; Co., Inc.")</f>
        <v>0</v>
      </c>
      <c r="C1417" t="s">
        <v>1924</v>
      </c>
      <c r="D1417">
        <v>52.95</v>
      </c>
      <c r="E1417">
        <v>0.041157601563715</v>
      </c>
      <c r="F1417">
        <v>4.813953488372093</v>
      </c>
      <c r="G1417">
        <v>0.7119781499547506</v>
      </c>
      <c r="H1417">
        <v>2.179295002798746</v>
      </c>
      <c r="I1417">
        <v>935.442975</v>
      </c>
      <c r="J1417">
        <v>8.70187606675411</v>
      </c>
      <c r="K1417">
        <v>0.3608104309269447</v>
      </c>
      <c r="L1417">
        <v>0.626222445406166</v>
      </c>
      <c r="M1417">
        <v>66.7</v>
      </c>
      <c r="N1417">
        <v>44.91</v>
      </c>
    </row>
    <row r="1418" spans="1:14">
      <c r="A1418" s="1" t="s">
        <v>1430</v>
      </c>
      <c r="B1418">
        <f>HYPERLINK("https://www.suredividend.com/sure-analysis-research-database/","Regis Corp.")</f>
        <v>0</v>
      </c>
      <c r="C1418" t="s">
        <v>1927</v>
      </c>
      <c r="D1418">
        <v>1.58</v>
      </c>
      <c r="E1418">
        <v>0</v>
      </c>
      <c r="F1418" t="s">
        <v>1921</v>
      </c>
      <c r="G1418" t="s">
        <v>1921</v>
      </c>
      <c r="H1418">
        <v>0</v>
      </c>
      <c r="I1418">
        <v>71.94771</v>
      </c>
      <c r="J1418" t="s">
        <v>1921</v>
      </c>
      <c r="K1418">
        <v>-0</v>
      </c>
      <c r="L1418">
        <v>0.728490640040099</v>
      </c>
      <c r="M1418">
        <v>2.34</v>
      </c>
      <c r="N1418">
        <v>0.5</v>
      </c>
    </row>
    <row r="1419" spans="1:14">
      <c r="A1419" s="1" t="s">
        <v>1431</v>
      </c>
      <c r="B1419">
        <f>HYPERLINK("https://www.suredividend.com/sure-analysis-research-database/","Ryman Hospitality Properties Inc")</f>
        <v>0</v>
      </c>
      <c r="C1419" t="s">
        <v>1929</v>
      </c>
      <c r="D1419">
        <v>81.06</v>
      </c>
      <c r="E1419">
        <v>0.004313909310041</v>
      </c>
      <c r="F1419" t="s">
        <v>1921</v>
      </c>
      <c r="G1419" t="s">
        <v>1921</v>
      </c>
      <c r="H1419">
        <v>0.349685488671944</v>
      </c>
      <c r="I1419">
        <v>4471.539043</v>
      </c>
      <c r="J1419">
        <v>68.87343730269238</v>
      </c>
      <c r="K1419">
        <v>0.3040743379756035</v>
      </c>
      <c r="L1419">
        <v>1.146952994979209</v>
      </c>
      <c r="M1419">
        <v>100.74</v>
      </c>
      <c r="N1419">
        <v>70.15000000000001</v>
      </c>
    </row>
    <row r="1420" spans="1:14">
      <c r="A1420" s="1" t="s">
        <v>1432</v>
      </c>
      <c r="B1420">
        <f>HYPERLINK("https://www.suredividend.com/sure-analysis-research-database/","RCI Hospitality Holdings Inc")</f>
        <v>0</v>
      </c>
      <c r="C1420" t="s">
        <v>1927</v>
      </c>
      <c r="D1420">
        <v>91.36</v>
      </c>
      <c r="E1420">
        <v>0.002186835166859</v>
      </c>
      <c r="F1420">
        <v>0.25</v>
      </c>
      <c r="G1420">
        <v>0.1075663432482901</v>
      </c>
      <c r="H1420">
        <v>0.199789260844282</v>
      </c>
      <c r="I1420">
        <v>843.273356</v>
      </c>
      <c r="J1420">
        <v>18.31570461110749</v>
      </c>
      <c r="K1420">
        <v>0.04069027715769491</v>
      </c>
      <c r="L1420">
        <v>1.287757812041164</v>
      </c>
      <c r="M1420">
        <v>96.78</v>
      </c>
      <c r="N1420">
        <v>46.42</v>
      </c>
    </row>
    <row r="1421" spans="1:14">
      <c r="A1421" s="1" t="s">
        <v>1433</v>
      </c>
      <c r="B1421">
        <f>HYPERLINK("https://www.suredividend.com/sure-analysis-research-database/","Lordstown Motors Corp.")</f>
        <v>0</v>
      </c>
      <c r="C1421" t="s">
        <v>1921</v>
      </c>
      <c r="D1421">
        <v>0.9383</v>
      </c>
      <c r="E1421">
        <v>0</v>
      </c>
      <c r="F1421" t="s">
        <v>1921</v>
      </c>
      <c r="G1421" t="s">
        <v>1921</v>
      </c>
      <c r="H1421">
        <v>0</v>
      </c>
      <c r="I1421">
        <v>203.588811</v>
      </c>
      <c r="J1421">
        <v>0</v>
      </c>
      <c r="K1421" t="s">
        <v>1921</v>
      </c>
      <c r="L1421">
        <v>1.823980750500988</v>
      </c>
      <c r="M1421">
        <v>3.79</v>
      </c>
      <c r="N1421">
        <v>0.87</v>
      </c>
    </row>
    <row r="1422" spans="1:14">
      <c r="A1422" s="1" t="s">
        <v>1434</v>
      </c>
      <c r="B1422">
        <f>HYPERLINK("https://www.suredividend.com/sure-analysis-research-database/","Rigel Pharmaceuticals")</f>
        <v>0</v>
      </c>
      <c r="C1422" t="s">
        <v>1922</v>
      </c>
      <c r="D1422">
        <v>1.41</v>
      </c>
      <c r="E1422">
        <v>0</v>
      </c>
      <c r="F1422" t="s">
        <v>1921</v>
      </c>
      <c r="G1422" t="s">
        <v>1921</v>
      </c>
      <c r="H1422">
        <v>0</v>
      </c>
      <c r="I1422">
        <v>243.699234</v>
      </c>
      <c r="J1422" t="s">
        <v>1921</v>
      </c>
      <c r="K1422">
        <v>-0</v>
      </c>
      <c r="L1422">
        <v>1.30315658040234</v>
      </c>
      <c r="M1422">
        <v>3.52</v>
      </c>
      <c r="N1422">
        <v>0.64</v>
      </c>
    </row>
    <row r="1423" spans="1:14">
      <c r="A1423" s="1" t="s">
        <v>1435</v>
      </c>
      <c r="B1423">
        <f>HYPERLINK("https://www.suredividend.com/sure-analysis-research-database/","B. Riley Financial Inc")</f>
        <v>0</v>
      </c>
      <c r="C1423" t="s">
        <v>1923</v>
      </c>
      <c r="D1423">
        <v>37.23</v>
      </c>
      <c r="E1423">
        <v>0.104199064866281</v>
      </c>
      <c r="F1423">
        <v>-0.6666666666666667</v>
      </c>
      <c r="G1423">
        <v>0.160543111353167</v>
      </c>
      <c r="H1423">
        <v>3.879331184971668</v>
      </c>
      <c r="I1423">
        <v>1064.108009</v>
      </c>
      <c r="J1423">
        <v>0</v>
      </c>
      <c r="K1423" t="s">
        <v>1921</v>
      </c>
      <c r="L1423">
        <v>1.539406065692773</v>
      </c>
      <c r="M1423">
        <v>81.51000000000001</v>
      </c>
      <c r="N1423">
        <v>30.75</v>
      </c>
    </row>
    <row r="1424" spans="1:14">
      <c r="A1424" s="1" t="s">
        <v>1436</v>
      </c>
      <c r="B1424">
        <f>HYPERLINK("https://www.suredividend.com/sure-analysis-research-database/","Riot Platforms Inc")</f>
        <v>0</v>
      </c>
      <c r="C1424" t="s">
        <v>1920</v>
      </c>
      <c r="D1424">
        <v>4.89</v>
      </c>
      <c r="E1424">
        <v>0</v>
      </c>
      <c r="F1424" t="s">
        <v>1921</v>
      </c>
      <c r="G1424" t="s">
        <v>1921</v>
      </c>
      <c r="H1424">
        <v>0</v>
      </c>
      <c r="I1424">
        <v>818.081895</v>
      </c>
      <c r="J1424">
        <v>0</v>
      </c>
      <c r="K1424" t="s">
        <v>1921</v>
      </c>
      <c r="L1424">
        <v>2.761629155835909</v>
      </c>
      <c r="M1424">
        <v>23.66</v>
      </c>
      <c r="N1424">
        <v>3.25</v>
      </c>
    </row>
    <row r="1425" spans="1:14">
      <c r="A1425" s="1" t="s">
        <v>1437</v>
      </c>
      <c r="B1425">
        <f>HYPERLINK("https://www.suredividend.com/sure-analysis-research-database/","Relay Therapeutics Inc")</f>
        <v>0</v>
      </c>
      <c r="C1425" t="s">
        <v>1921</v>
      </c>
      <c r="D1425">
        <v>15.59</v>
      </c>
      <c r="E1425">
        <v>0</v>
      </c>
      <c r="F1425" t="s">
        <v>1921</v>
      </c>
      <c r="G1425" t="s">
        <v>1921</v>
      </c>
      <c r="H1425">
        <v>0</v>
      </c>
      <c r="I1425">
        <v>1884.751507</v>
      </c>
      <c r="J1425">
        <v>0</v>
      </c>
      <c r="K1425" t="s">
        <v>1921</v>
      </c>
      <c r="L1425">
        <v>1.830958746881131</v>
      </c>
      <c r="M1425">
        <v>35.36</v>
      </c>
      <c r="N1425">
        <v>12.65</v>
      </c>
    </row>
    <row r="1426" spans="1:14">
      <c r="A1426" s="1" t="s">
        <v>1438</v>
      </c>
      <c r="B1426">
        <f>HYPERLINK("https://www.suredividend.com/sure-analysis-research-database/","Radiant Logistics, Inc.")</f>
        <v>0</v>
      </c>
      <c r="C1426" t="s">
        <v>1924</v>
      </c>
      <c r="D1426">
        <v>5.32</v>
      </c>
      <c r="E1426">
        <v>0</v>
      </c>
      <c r="F1426" t="s">
        <v>1921</v>
      </c>
      <c r="G1426" t="s">
        <v>1921</v>
      </c>
      <c r="H1426">
        <v>0</v>
      </c>
      <c r="I1426">
        <v>263.038383</v>
      </c>
      <c r="J1426">
        <v>0</v>
      </c>
      <c r="K1426" t="s">
        <v>1921</v>
      </c>
      <c r="L1426">
        <v>0.9491158543736881</v>
      </c>
      <c r="M1426">
        <v>8.09</v>
      </c>
      <c r="N1426">
        <v>4.93</v>
      </c>
    </row>
    <row r="1427" spans="1:14">
      <c r="A1427" s="1" t="s">
        <v>1439</v>
      </c>
      <c r="B1427">
        <f>HYPERLINK("https://www.suredividend.com/sure-analysis-RLI/","RLI Corp.")</f>
        <v>0</v>
      </c>
      <c r="C1427" t="s">
        <v>1923</v>
      </c>
      <c r="D1427">
        <v>135.11</v>
      </c>
      <c r="E1427">
        <v>0.007697431722300347</v>
      </c>
      <c r="F1427">
        <v>0.04000000000000004</v>
      </c>
      <c r="G1427">
        <v>0.03397522653195018</v>
      </c>
      <c r="H1427">
        <v>1.026761494298704</v>
      </c>
      <c r="I1427">
        <v>6131.044684</v>
      </c>
      <c r="J1427">
        <v>10.55509783547183</v>
      </c>
      <c r="K1427">
        <v>0.08072024326247673</v>
      </c>
      <c r="L1427">
        <v>0.456555969105175</v>
      </c>
      <c r="M1427">
        <v>138.05</v>
      </c>
      <c r="N1427">
        <v>95.36</v>
      </c>
    </row>
    <row r="1428" spans="1:14">
      <c r="A1428" s="1" t="s">
        <v>1440</v>
      </c>
      <c r="B1428">
        <f>HYPERLINK("https://www.suredividend.com/sure-analysis-RLJ/","RLJ Lodging Trust")</f>
        <v>0</v>
      </c>
      <c r="C1428" t="s">
        <v>1929</v>
      </c>
      <c r="D1428">
        <v>10.59</v>
      </c>
      <c r="E1428">
        <v>0.011289749011364</v>
      </c>
      <c r="F1428">
        <v>4</v>
      </c>
      <c r="G1428">
        <v>-0.3143677884581088</v>
      </c>
      <c r="H1428">
        <v>0.119558442030347</v>
      </c>
      <c r="I1428">
        <v>1716.151362</v>
      </c>
      <c r="J1428" t="s">
        <v>1921</v>
      </c>
      <c r="K1428" t="s">
        <v>1921</v>
      </c>
      <c r="L1428">
        <v>1.163075513233957</v>
      </c>
      <c r="M1428">
        <v>15.28</v>
      </c>
      <c r="N1428">
        <v>9.789999999999999</v>
      </c>
    </row>
    <row r="1429" spans="1:14">
      <c r="A1429" s="1" t="s">
        <v>1441</v>
      </c>
      <c r="B1429">
        <f>HYPERLINK("https://www.suredividend.com/sure-analysis-research-database/","Relmada Therapeutics Inc")</f>
        <v>0</v>
      </c>
      <c r="C1429" t="s">
        <v>1922</v>
      </c>
      <c r="D1429">
        <v>3.39</v>
      </c>
      <c r="E1429">
        <v>0</v>
      </c>
      <c r="F1429" t="s">
        <v>1921</v>
      </c>
      <c r="G1429" t="s">
        <v>1921</v>
      </c>
      <c r="H1429">
        <v>0</v>
      </c>
      <c r="I1429">
        <v>102.036298</v>
      </c>
      <c r="J1429">
        <v>0</v>
      </c>
      <c r="K1429" t="s">
        <v>1921</v>
      </c>
      <c r="L1429">
        <v>0.404125271330678</v>
      </c>
      <c r="M1429">
        <v>38.68</v>
      </c>
      <c r="N1429">
        <v>1.81</v>
      </c>
    </row>
    <row r="1430" spans="1:14">
      <c r="A1430" s="1" t="s">
        <v>1442</v>
      </c>
      <c r="B1430">
        <f>HYPERLINK("https://www.suredividend.com/sure-analysis-research-database/","Rallybio Corp")</f>
        <v>0</v>
      </c>
      <c r="C1430" t="s">
        <v>1921</v>
      </c>
      <c r="D1430">
        <v>5.89</v>
      </c>
      <c r="E1430">
        <v>0</v>
      </c>
      <c r="F1430" t="s">
        <v>1921</v>
      </c>
      <c r="G1430" t="s">
        <v>1921</v>
      </c>
      <c r="H1430">
        <v>0</v>
      </c>
      <c r="I1430">
        <v>188.683982</v>
      </c>
      <c r="J1430">
        <v>0</v>
      </c>
      <c r="K1430" t="s">
        <v>1921</v>
      </c>
      <c r="L1430">
        <v>1.109616073257255</v>
      </c>
      <c r="M1430">
        <v>15.89</v>
      </c>
      <c r="N1430">
        <v>4.54</v>
      </c>
    </row>
    <row r="1431" spans="1:14">
      <c r="A1431" s="1" t="s">
        <v>1443</v>
      </c>
      <c r="B1431">
        <f>HYPERLINK("https://www.suredividend.com/sure-analysis-research-database/","Regional Management Corp")</f>
        <v>0</v>
      </c>
      <c r="C1431" t="s">
        <v>1923</v>
      </c>
      <c r="D1431">
        <v>30.16</v>
      </c>
      <c r="E1431">
        <v>0.03926210986850701</v>
      </c>
      <c r="F1431" t="s">
        <v>1921</v>
      </c>
      <c r="G1431" t="s">
        <v>1921</v>
      </c>
      <c r="H1431">
        <v>1.184145233634182</v>
      </c>
      <c r="I1431">
        <v>289.107185</v>
      </c>
      <c r="J1431">
        <v>0</v>
      </c>
      <c r="K1431" t="s">
        <v>1921</v>
      </c>
      <c r="L1431">
        <v>0.9711104430710551</v>
      </c>
      <c r="M1431">
        <v>55.55</v>
      </c>
      <c r="N1431">
        <v>26.52</v>
      </c>
    </row>
    <row r="1432" spans="1:14">
      <c r="A1432" s="1" t="s">
        <v>1444</v>
      </c>
      <c r="B1432">
        <f>HYPERLINK("https://www.suredividend.com/sure-analysis-research-database/","RE/MAX Holdings Inc")</f>
        <v>0</v>
      </c>
      <c r="C1432" t="s">
        <v>1929</v>
      </c>
      <c r="D1432">
        <v>20.04</v>
      </c>
      <c r="E1432">
        <v>0.04519685980969401</v>
      </c>
      <c r="F1432">
        <v>0</v>
      </c>
      <c r="G1432">
        <v>0.02834672210021361</v>
      </c>
      <c r="H1432">
        <v>0.9057450705862861</v>
      </c>
      <c r="I1432">
        <v>365.638177</v>
      </c>
      <c r="J1432">
        <v>0</v>
      </c>
      <c r="K1432" t="s">
        <v>1921</v>
      </c>
      <c r="L1432">
        <v>0.9672669939620271</v>
      </c>
      <c r="M1432">
        <v>30.72</v>
      </c>
      <c r="N1432">
        <v>16.82</v>
      </c>
    </row>
    <row r="1433" spans="1:14">
      <c r="A1433" s="1" t="s">
        <v>1445</v>
      </c>
      <c r="B1433">
        <f>HYPERLINK("https://www.suredividend.com/sure-analysis-research-database/","Rambus Inc.")</f>
        <v>0</v>
      </c>
      <c r="C1433" t="s">
        <v>1920</v>
      </c>
      <c r="D1433">
        <v>37.49</v>
      </c>
      <c r="E1433">
        <v>0</v>
      </c>
      <c r="F1433" t="s">
        <v>1921</v>
      </c>
      <c r="G1433" t="s">
        <v>1921</v>
      </c>
      <c r="H1433">
        <v>0</v>
      </c>
      <c r="I1433">
        <v>4029.500555</v>
      </c>
      <c r="J1433" t="s">
        <v>1921</v>
      </c>
      <c r="K1433">
        <v>-0</v>
      </c>
      <c r="L1433">
        <v>1.211816594406547</v>
      </c>
      <c r="M1433">
        <v>39.34</v>
      </c>
      <c r="N1433">
        <v>20</v>
      </c>
    </row>
    <row r="1434" spans="1:14">
      <c r="A1434" s="1" t="s">
        <v>1446</v>
      </c>
      <c r="B1434">
        <f>HYPERLINK("https://www.suredividend.com/sure-analysis-research-database/","Rimini Street Inc.")</f>
        <v>0</v>
      </c>
      <c r="C1434" t="s">
        <v>1920</v>
      </c>
      <c r="D1434">
        <v>4.2</v>
      </c>
      <c r="E1434">
        <v>0</v>
      </c>
      <c r="F1434" t="s">
        <v>1921</v>
      </c>
      <c r="G1434" t="s">
        <v>1921</v>
      </c>
      <c r="H1434">
        <v>0</v>
      </c>
      <c r="I1434">
        <v>370.7676</v>
      </c>
      <c r="J1434">
        <v>0</v>
      </c>
      <c r="K1434" t="s">
        <v>1921</v>
      </c>
      <c r="L1434">
        <v>1.243396858289603</v>
      </c>
      <c r="M1434">
        <v>7.25</v>
      </c>
      <c r="N1434">
        <v>3.5</v>
      </c>
    </row>
    <row r="1435" spans="1:14">
      <c r="A1435" s="1" t="s">
        <v>1447</v>
      </c>
      <c r="B1435">
        <f>HYPERLINK("https://www.suredividend.com/sure-analysis-research-database/","Romeo Power Inc")</f>
        <v>0</v>
      </c>
      <c r="C1435" t="s">
        <v>1921</v>
      </c>
      <c r="D1435">
        <v>0.35</v>
      </c>
      <c r="E1435">
        <v>0</v>
      </c>
      <c r="F1435" t="s">
        <v>1921</v>
      </c>
      <c r="G1435" t="s">
        <v>1921</v>
      </c>
      <c r="H1435">
        <v>0</v>
      </c>
      <c r="I1435">
        <v>65.068023</v>
      </c>
      <c r="J1435">
        <v>0</v>
      </c>
      <c r="K1435" t="s">
        <v>1921</v>
      </c>
      <c r="L1435">
        <v>2.143636906896926</v>
      </c>
      <c r="M1435">
        <v>5.55</v>
      </c>
      <c r="N1435">
        <v>0.3174</v>
      </c>
    </row>
    <row r="1436" spans="1:14">
      <c r="A1436" s="1" t="s">
        <v>1448</v>
      </c>
      <c r="B1436">
        <f>HYPERLINK("https://www.suredividend.com/sure-analysis-research-database/","RMR Group Inc (The)")</f>
        <v>0</v>
      </c>
      <c r="C1436" t="s">
        <v>1929</v>
      </c>
      <c r="D1436">
        <v>28.74</v>
      </c>
      <c r="E1436">
        <v>0.053785698593766</v>
      </c>
      <c r="F1436">
        <v>0.05263157894736836</v>
      </c>
      <c r="G1436">
        <v>0.09856054330611785</v>
      </c>
      <c r="H1436">
        <v>1.545800977584839</v>
      </c>
      <c r="I1436">
        <v>448.508996</v>
      </c>
      <c r="J1436">
        <v>0</v>
      </c>
      <c r="K1436" t="s">
        <v>1921</v>
      </c>
      <c r="L1436">
        <v>0.719229552717212</v>
      </c>
      <c r="M1436">
        <v>33.41</v>
      </c>
      <c r="N1436">
        <v>22.64</v>
      </c>
    </row>
    <row r="1437" spans="1:14">
      <c r="A1437" s="1" t="s">
        <v>1449</v>
      </c>
      <c r="B1437">
        <f>HYPERLINK("https://www.suredividend.com/sure-analysis-research-database/","Avidity Biosciences Inc")</f>
        <v>0</v>
      </c>
      <c r="C1437" t="s">
        <v>1921</v>
      </c>
      <c r="D1437">
        <v>18.63</v>
      </c>
      <c r="E1437">
        <v>0</v>
      </c>
      <c r="F1437" t="s">
        <v>1921</v>
      </c>
      <c r="G1437" t="s">
        <v>1921</v>
      </c>
      <c r="H1437">
        <v>0</v>
      </c>
      <c r="I1437">
        <v>1014.63671</v>
      </c>
      <c r="J1437">
        <v>0</v>
      </c>
      <c r="K1437" t="s">
        <v>1921</v>
      </c>
      <c r="L1437">
        <v>1.265519461906211</v>
      </c>
      <c r="M1437">
        <v>23.57</v>
      </c>
      <c r="N1437">
        <v>9.83</v>
      </c>
    </row>
    <row r="1438" spans="1:14">
      <c r="A1438" s="1" t="s">
        <v>1450</v>
      </c>
      <c r="B1438">
        <f>HYPERLINK("https://www.suredividend.com/sure-analysis-research-database/","Renasant Corp.")</f>
        <v>0</v>
      </c>
      <c r="C1438" t="s">
        <v>1923</v>
      </c>
      <c r="D1438">
        <v>36.59</v>
      </c>
      <c r="E1438">
        <v>0.023819837238413</v>
      </c>
      <c r="F1438">
        <v>0</v>
      </c>
      <c r="G1438">
        <v>0.02975477857041309</v>
      </c>
      <c r="H1438">
        <v>0.8715678445535571</v>
      </c>
      <c r="I1438">
        <v>2047.324075</v>
      </c>
      <c r="J1438">
        <v>13.0530843971794</v>
      </c>
      <c r="K1438">
        <v>0.3123899084421352</v>
      </c>
      <c r="L1438">
        <v>0.6830884089278421</v>
      </c>
      <c r="M1438">
        <v>41.53</v>
      </c>
      <c r="N1438">
        <v>27.27</v>
      </c>
    </row>
    <row r="1439" spans="1:14">
      <c r="A1439" s="1" t="s">
        <v>1451</v>
      </c>
      <c r="B1439">
        <f>HYPERLINK("https://www.suredividend.com/sure-analysis-research-database/","Construction Partners Inc")</f>
        <v>0</v>
      </c>
      <c r="C1439" t="s">
        <v>1924</v>
      </c>
      <c r="D1439">
        <v>26.73</v>
      </c>
      <c r="E1439">
        <v>0</v>
      </c>
      <c r="F1439" t="s">
        <v>1921</v>
      </c>
      <c r="G1439" t="s">
        <v>1921</v>
      </c>
      <c r="H1439">
        <v>0</v>
      </c>
      <c r="I1439">
        <v>1104.969872</v>
      </c>
      <c r="J1439">
        <v>0</v>
      </c>
      <c r="K1439" t="s">
        <v>1921</v>
      </c>
      <c r="L1439">
        <v>1.012424636737158</v>
      </c>
      <c r="M1439">
        <v>32.98</v>
      </c>
      <c r="N1439">
        <v>18.89</v>
      </c>
    </row>
    <row r="1440" spans="1:14">
      <c r="A1440" s="1" t="s">
        <v>1452</v>
      </c>
      <c r="B1440">
        <f>HYPERLINK("https://www.suredividend.com/sure-analysis-research-database/","Ranger Oil Corp")</f>
        <v>0</v>
      </c>
      <c r="C1440" t="s">
        <v>1921</v>
      </c>
      <c r="D1440">
        <v>40.77</v>
      </c>
      <c r="E1440">
        <v>0.003675927352624</v>
      </c>
      <c r="F1440" t="s">
        <v>1921</v>
      </c>
      <c r="G1440" t="s">
        <v>1921</v>
      </c>
      <c r="H1440">
        <v>0.149867558166503</v>
      </c>
      <c r="I1440">
        <v>779.556606</v>
      </c>
      <c r="J1440">
        <v>0</v>
      </c>
      <c r="K1440" t="s">
        <v>1921</v>
      </c>
      <c r="L1440">
        <v>1.024154546633265</v>
      </c>
      <c r="M1440">
        <v>53.38</v>
      </c>
      <c r="N1440">
        <v>26.95</v>
      </c>
    </row>
    <row r="1441" spans="1:14">
      <c r="A1441" s="1" t="s">
        <v>1453</v>
      </c>
      <c r="B1441">
        <f>HYPERLINK("https://www.suredividend.com/sure-analysis-research-database/","Gibraltar Industries Inc.")</f>
        <v>0</v>
      </c>
      <c r="C1441" t="s">
        <v>1924</v>
      </c>
      <c r="D1441">
        <v>47.98</v>
      </c>
      <c r="E1441">
        <v>0</v>
      </c>
      <c r="F1441" t="s">
        <v>1921</v>
      </c>
      <c r="G1441" t="s">
        <v>1921</v>
      </c>
      <c r="H1441">
        <v>0</v>
      </c>
      <c r="I1441">
        <v>1485.987237</v>
      </c>
      <c r="J1441">
        <v>16.80600810404886</v>
      </c>
      <c r="K1441">
        <v>0</v>
      </c>
      <c r="L1441">
        <v>1.139701375926021</v>
      </c>
      <c r="M1441">
        <v>65.34999999999999</v>
      </c>
      <c r="N1441">
        <v>36.58</v>
      </c>
    </row>
    <row r="1442" spans="1:14">
      <c r="A1442" s="1" t="s">
        <v>1454</v>
      </c>
      <c r="B1442">
        <f>HYPERLINK("https://www.suredividend.com/sure-analysis-research-database/","Rogers Corp.")</f>
        <v>0</v>
      </c>
      <c r="C1442" t="s">
        <v>1920</v>
      </c>
      <c r="D1442">
        <v>121.41</v>
      </c>
      <c r="E1442">
        <v>0</v>
      </c>
      <c r="F1442" t="s">
        <v>1921</v>
      </c>
      <c r="G1442" t="s">
        <v>1921</v>
      </c>
      <c r="H1442">
        <v>0</v>
      </c>
      <c r="I1442">
        <v>2283.949622</v>
      </c>
      <c r="J1442">
        <v>31.52362422486612</v>
      </c>
      <c r="K1442">
        <v>0</v>
      </c>
      <c r="L1442">
        <v>0.441955879866868</v>
      </c>
      <c r="M1442">
        <v>274.51</v>
      </c>
      <c r="N1442">
        <v>98.45</v>
      </c>
    </row>
    <row r="1443" spans="1:14">
      <c r="A1443" s="1" t="s">
        <v>1455</v>
      </c>
      <c r="B1443">
        <f>HYPERLINK("https://www.suredividend.com/sure-analysis-research-database/","Retail Opportunity Investments Corp")</f>
        <v>0</v>
      </c>
      <c r="C1443" t="s">
        <v>1929</v>
      </c>
      <c r="D1443">
        <v>14.91</v>
      </c>
      <c r="E1443">
        <v>0.037064231013414</v>
      </c>
      <c r="F1443" t="s">
        <v>1921</v>
      </c>
      <c r="G1443" t="s">
        <v>1921</v>
      </c>
      <c r="H1443">
        <v>0.5526276844100141</v>
      </c>
      <c r="I1443">
        <v>1856.915524</v>
      </c>
      <c r="J1443">
        <v>37.47483450142278</v>
      </c>
      <c r="K1443">
        <v>1.468582738267377</v>
      </c>
      <c r="L1443">
        <v>0.8419613493448</v>
      </c>
      <c r="M1443">
        <v>19.46</v>
      </c>
      <c r="N1443">
        <v>13.22</v>
      </c>
    </row>
    <row r="1444" spans="1:14">
      <c r="A1444" s="1" t="s">
        <v>1456</v>
      </c>
      <c r="B1444">
        <f>HYPERLINK("https://www.suredividend.com/sure-analysis-research-database/","RBC Bearings Inc.")</f>
        <v>0</v>
      </c>
      <c r="C1444" t="s">
        <v>1924</v>
      </c>
      <c r="D1444">
        <v>208.32</v>
      </c>
      <c r="E1444">
        <v>0</v>
      </c>
      <c r="F1444" t="s">
        <v>1921</v>
      </c>
      <c r="G1444" t="s">
        <v>1921</v>
      </c>
      <c r="H1444">
        <v>0</v>
      </c>
      <c r="I1444">
        <v>6269.891645</v>
      </c>
      <c r="J1444">
        <v>0</v>
      </c>
      <c r="K1444" t="s">
        <v>1921</v>
      </c>
    </row>
    <row r="1445" spans="1:14">
      <c r="A1445" s="1" t="s">
        <v>1457</v>
      </c>
      <c r="B1445">
        <f>HYPERLINK("https://www.suredividend.com/sure-analysis-research-database/","Repay Holdings Corporation")</f>
        <v>0</v>
      </c>
      <c r="C1445" t="s">
        <v>1920</v>
      </c>
      <c r="D1445">
        <v>8.44</v>
      </c>
      <c r="E1445">
        <v>0</v>
      </c>
      <c r="F1445" t="s">
        <v>1921</v>
      </c>
      <c r="G1445" t="s">
        <v>1921</v>
      </c>
      <c r="H1445">
        <v>0</v>
      </c>
      <c r="I1445">
        <v>765.415793</v>
      </c>
      <c r="J1445">
        <v>0</v>
      </c>
      <c r="K1445" t="s">
        <v>1921</v>
      </c>
      <c r="L1445">
        <v>1.819683105947024</v>
      </c>
      <c r="M1445">
        <v>18.69</v>
      </c>
      <c r="N1445">
        <v>4.37</v>
      </c>
    </row>
    <row r="1446" spans="1:14">
      <c r="A1446" s="1" t="s">
        <v>1458</v>
      </c>
      <c r="B1446">
        <f>HYPERLINK("https://www.suredividend.com/sure-analysis-research-database/","Rapid7 Inc")</f>
        <v>0</v>
      </c>
      <c r="C1446" t="s">
        <v>1920</v>
      </c>
      <c r="D1446">
        <v>33.01</v>
      </c>
      <c r="E1446">
        <v>0</v>
      </c>
      <c r="F1446" t="s">
        <v>1921</v>
      </c>
      <c r="G1446" t="s">
        <v>1921</v>
      </c>
      <c r="H1446">
        <v>0</v>
      </c>
      <c r="I1446">
        <v>1955.377719</v>
      </c>
      <c r="J1446" t="s">
        <v>1921</v>
      </c>
      <c r="K1446">
        <v>-0</v>
      </c>
      <c r="L1446">
        <v>1.485573989939427</v>
      </c>
      <c r="M1446">
        <v>118.25</v>
      </c>
      <c r="N1446">
        <v>26.49</v>
      </c>
    </row>
    <row r="1447" spans="1:14">
      <c r="A1447" s="1" t="s">
        <v>1459</v>
      </c>
      <c r="B1447">
        <f>HYPERLINK("https://www.suredividend.com/sure-analysis-research-database/","Reneo Pharmaceuticals Inc")</f>
        <v>0</v>
      </c>
      <c r="C1447" t="s">
        <v>1921</v>
      </c>
      <c r="D1447">
        <v>2.63</v>
      </c>
      <c r="E1447">
        <v>0</v>
      </c>
      <c r="F1447" t="s">
        <v>1921</v>
      </c>
      <c r="G1447" t="s">
        <v>1921</v>
      </c>
      <c r="H1447">
        <v>0</v>
      </c>
      <c r="I1447">
        <v>64.512969</v>
      </c>
      <c r="J1447">
        <v>0</v>
      </c>
      <c r="K1447" t="s">
        <v>1921</v>
      </c>
      <c r="L1447">
        <v>0.6207677899546751</v>
      </c>
      <c r="M1447">
        <v>9.32</v>
      </c>
      <c r="N1447">
        <v>1.79</v>
      </c>
    </row>
    <row r="1448" spans="1:14">
      <c r="A1448" s="1" t="s">
        <v>1460</v>
      </c>
      <c r="B1448">
        <f>HYPERLINK("https://www.suredividend.com/sure-analysis-research-database/","Rapid Micro Biosystems Inc")</f>
        <v>0</v>
      </c>
      <c r="C1448" t="s">
        <v>1921</v>
      </c>
      <c r="D1448">
        <v>1.37</v>
      </c>
      <c r="E1448">
        <v>0</v>
      </c>
      <c r="F1448" t="s">
        <v>1921</v>
      </c>
      <c r="G1448" t="s">
        <v>1921</v>
      </c>
      <c r="H1448">
        <v>0</v>
      </c>
      <c r="I1448">
        <v>49.924041</v>
      </c>
      <c r="J1448">
        <v>0</v>
      </c>
      <c r="K1448" t="s">
        <v>1921</v>
      </c>
      <c r="L1448">
        <v>1.299976478960578</v>
      </c>
      <c r="M1448">
        <v>8.98</v>
      </c>
      <c r="N1448">
        <v>1.12</v>
      </c>
    </row>
    <row r="1449" spans="1:14">
      <c r="A1449" s="1" t="s">
        <v>1461</v>
      </c>
      <c r="B1449">
        <f>HYPERLINK("https://www.suredividend.com/sure-analysis-RPT/","RPT Realty")</f>
        <v>0</v>
      </c>
      <c r="C1449" t="s">
        <v>1929</v>
      </c>
      <c r="D1449">
        <v>9.73</v>
      </c>
      <c r="E1449">
        <v>0.05344295991778006</v>
      </c>
      <c r="F1449" t="s">
        <v>1921</v>
      </c>
      <c r="G1449" t="s">
        <v>1921</v>
      </c>
      <c r="H1449">
        <v>0.509845079266616</v>
      </c>
      <c r="I1449">
        <v>829.473432</v>
      </c>
      <c r="J1449">
        <v>106.8220774810045</v>
      </c>
      <c r="K1449">
        <v>5.355515538514874</v>
      </c>
      <c r="L1449">
        <v>0.9979601684768301</v>
      </c>
      <c r="M1449">
        <v>13.8</v>
      </c>
      <c r="N1449">
        <v>7.19</v>
      </c>
    </row>
    <row r="1450" spans="1:14">
      <c r="A1450" s="1" t="s">
        <v>1462</v>
      </c>
      <c r="B1450">
        <f>HYPERLINK("https://www.suredividend.com/sure-analysis-research-database/","Red River Bancshares Inc")</f>
        <v>0</v>
      </c>
      <c r="C1450" t="s">
        <v>1923</v>
      </c>
      <c r="D1450">
        <v>48.22</v>
      </c>
      <c r="E1450">
        <v>0.005795047238282</v>
      </c>
      <c r="F1450" t="s">
        <v>1921</v>
      </c>
      <c r="G1450" t="s">
        <v>1921</v>
      </c>
      <c r="H1450">
        <v>0.279437177829969</v>
      </c>
      <c r="I1450">
        <v>346.408381</v>
      </c>
      <c r="J1450">
        <v>0</v>
      </c>
      <c r="K1450" t="s">
        <v>1921</v>
      </c>
      <c r="L1450">
        <v>0.649730581470592</v>
      </c>
      <c r="M1450">
        <v>60.49</v>
      </c>
      <c r="N1450">
        <v>46.83</v>
      </c>
    </row>
    <row r="1451" spans="1:14">
      <c r="A1451" s="1" t="s">
        <v>1463</v>
      </c>
      <c r="B1451">
        <f>HYPERLINK("https://www.suredividend.com/sure-analysis-research-database/","Range Resources Corp")</f>
        <v>0</v>
      </c>
      <c r="C1451" t="s">
        <v>1926</v>
      </c>
      <c r="D1451">
        <v>24.6</v>
      </c>
      <c r="E1451">
        <v>0.006494395624039</v>
      </c>
      <c r="F1451" t="s">
        <v>1921</v>
      </c>
      <c r="G1451" t="s">
        <v>1921</v>
      </c>
      <c r="H1451">
        <v>0.159762132351368</v>
      </c>
      <c r="I1451">
        <v>5944.224813</v>
      </c>
      <c r="J1451">
        <v>4.794591941131348</v>
      </c>
      <c r="K1451">
        <v>0.03227517825280162</v>
      </c>
      <c r="L1451">
        <v>1.08703725948449</v>
      </c>
      <c r="M1451">
        <v>37.23</v>
      </c>
      <c r="N1451">
        <v>16.62</v>
      </c>
    </row>
    <row r="1452" spans="1:14">
      <c r="A1452" s="1" t="s">
        <v>1464</v>
      </c>
      <c r="B1452">
        <f>HYPERLINK("https://www.suredividend.com/sure-analysis-research-database/","Red Robin Gourmet Burgers Inc")</f>
        <v>0</v>
      </c>
      <c r="C1452" t="s">
        <v>1927</v>
      </c>
      <c r="D1452">
        <v>7.29</v>
      </c>
      <c r="E1452">
        <v>0</v>
      </c>
      <c r="F1452" t="s">
        <v>1921</v>
      </c>
      <c r="G1452" t="s">
        <v>1921</v>
      </c>
      <c r="H1452">
        <v>0</v>
      </c>
      <c r="I1452">
        <v>116.115448</v>
      </c>
      <c r="J1452" t="s">
        <v>1921</v>
      </c>
      <c r="K1452">
        <v>-0</v>
      </c>
      <c r="L1452">
        <v>1.597911625202319</v>
      </c>
      <c r="M1452">
        <v>18.64</v>
      </c>
      <c r="N1452">
        <v>5.35</v>
      </c>
    </row>
    <row r="1453" spans="1:14">
      <c r="A1453" s="1" t="s">
        <v>1465</v>
      </c>
      <c r="B1453">
        <f>HYPERLINK("https://www.suredividend.com/sure-analysis-research-database/","Red Rock Resorts Inc")</f>
        <v>0</v>
      </c>
      <c r="C1453" t="s">
        <v>1927</v>
      </c>
      <c r="D1453">
        <v>43.24</v>
      </c>
      <c r="E1453">
        <v>0.022533749500905</v>
      </c>
      <c r="F1453" t="s">
        <v>1921</v>
      </c>
      <c r="G1453" t="s">
        <v>1921</v>
      </c>
      <c r="H1453">
        <v>0.9743593284191671</v>
      </c>
      <c r="I1453">
        <v>2507.938118</v>
      </c>
      <c r="J1453">
        <v>9.558856711031831</v>
      </c>
      <c r="K1453">
        <v>0.4026278216608128</v>
      </c>
      <c r="L1453">
        <v>1.22447555139256</v>
      </c>
      <c r="M1453">
        <v>51.77</v>
      </c>
      <c r="N1453">
        <v>29.93</v>
      </c>
    </row>
    <row r="1454" spans="1:14">
      <c r="A1454" s="1" t="s">
        <v>1466</v>
      </c>
      <c r="B1454">
        <f>HYPERLINK("https://www.suredividend.com/sure-analysis-research-database/","Rush Street Interactive Inc")</f>
        <v>0</v>
      </c>
      <c r="C1454" t="s">
        <v>1921</v>
      </c>
      <c r="D1454">
        <v>3.77</v>
      </c>
      <c r="E1454">
        <v>0</v>
      </c>
      <c r="F1454" t="s">
        <v>1921</v>
      </c>
      <c r="G1454" t="s">
        <v>1921</v>
      </c>
      <c r="H1454">
        <v>0</v>
      </c>
      <c r="I1454">
        <v>241.772796</v>
      </c>
      <c r="J1454">
        <v>0</v>
      </c>
      <c r="K1454" t="s">
        <v>1921</v>
      </c>
      <c r="L1454">
        <v>1.955511400162854</v>
      </c>
      <c r="M1454">
        <v>14.43</v>
      </c>
      <c r="N1454">
        <v>2.89</v>
      </c>
    </row>
    <row r="1455" spans="1:14">
      <c r="A1455" s="1" t="s">
        <v>1467</v>
      </c>
      <c r="B1455">
        <f>HYPERLINK("https://www.suredividend.com/sure-analysis-research-database/","Rubius Therapeutics Inc")</f>
        <v>0</v>
      </c>
      <c r="C1455" t="s">
        <v>1922</v>
      </c>
      <c r="D1455">
        <v>0.1814</v>
      </c>
      <c r="E1455">
        <v>0</v>
      </c>
      <c r="F1455" t="s">
        <v>1921</v>
      </c>
      <c r="G1455" t="s">
        <v>1921</v>
      </c>
      <c r="H1455">
        <v>0</v>
      </c>
      <c r="I1455">
        <v>16.393396</v>
      </c>
      <c r="J1455">
        <v>0</v>
      </c>
      <c r="K1455" t="s">
        <v>1921</v>
      </c>
      <c r="L1455">
        <v>1.328529498215013</v>
      </c>
      <c r="M1455">
        <v>9.949999999999999</v>
      </c>
      <c r="N1455">
        <v>0.14</v>
      </c>
    </row>
    <row r="1456" spans="1:14">
      <c r="A1456" s="1" t="s">
        <v>1468</v>
      </c>
      <c r="B1456">
        <f>HYPERLINK("https://www.suredividend.com/sure-analysis-research-database/","Rush Enterprises Inc")</f>
        <v>0</v>
      </c>
      <c r="C1456" t="s">
        <v>1927</v>
      </c>
      <c r="D1456">
        <v>52.26</v>
      </c>
      <c r="E1456">
        <v>0.015215146934984</v>
      </c>
      <c r="F1456" t="s">
        <v>1921</v>
      </c>
      <c r="G1456" t="s">
        <v>1921</v>
      </c>
      <c r="H1456">
        <v>0.795143578822294</v>
      </c>
      <c r="I1456">
        <v>2877.760706</v>
      </c>
      <c r="J1456">
        <v>7.940227315880671</v>
      </c>
      <c r="K1456">
        <v>0.1262132664797292</v>
      </c>
      <c r="L1456">
        <v>0.7840923362301301</v>
      </c>
      <c r="M1456">
        <v>56.5</v>
      </c>
      <c r="N1456">
        <v>42.54</v>
      </c>
    </row>
    <row r="1457" spans="1:14">
      <c r="A1457" s="1" t="s">
        <v>1469</v>
      </c>
      <c r="B1457">
        <f>HYPERLINK("https://www.suredividend.com/sure-analysis-research-database/","Rush Enterprises Inc")</f>
        <v>0</v>
      </c>
      <c r="C1457" t="s">
        <v>1927</v>
      </c>
      <c r="D1457">
        <v>54.98</v>
      </c>
      <c r="E1457">
        <v>0.014467224978484</v>
      </c>
      <c r="F1457" t="s">
        <v>1921</v>
      </c>
      <c r="G1457" t="s">
        <v>1921</v>
      </c>
      <c r="H1457">
        <v>0.7954080293171021</v>
      </c>
      <c r="I1457">
        <v>2877.760706</v>
      </c>
      <c r="J1457">
        <v>0</v>
      </c>
      <c r="K1457" t="s">
        <v>1921</v>
      </c>
      <c r="L1457">
        <v>0.8713772963698441</v>
      </c>
      <c r="M1457">
        <v>59.76</v>
      </c>
      <c r="N1457">
        <v>43.66</v>
      </c>
    </row>
    <row r="1458" spans="1:14">
      <c r="A1458" s="1" t="s">
        <v>1470</v>
      </c>
      <c r="B1458">
        <f>HYPERLINK("https://www.suredividend.com/sure-analysis-research-database/","Ruths Hospitality Group Inc")</f>
        <v>0</v>
      </c>
      <c r="C1458" t="s">
        <v>1927</v>
      </c>
      <c r="D1458">
        <v>17.86</v>
      </c>
      <c r="E1458">
        <v>0.029905596961482</v>
      </c>
      <c r="F1458" t="s">
        <v>1921</v>
      </c>
      <c r="G1458" t="s">
        <v>1921</v>
      </c>
      <c r="H1458">
        <v>0.534113961732079</v>
      </c>
      <c r="I1458">
        <v>592.990149</v>
      </c>
      <c r="J1458">
        <v>14.8077248404335</v>
      </c>
      <c r="K1458">
        <v>0.452638950620406</v>
      </c>
      <c r="L1458">
        <v>1.083284668172841</v>
      </c>
      <c r="M1458">
        <v>24.37</v>
      </c>
      <c r="N1458">
        <v>14.65</v>
      </c>
    </row>
    <row r="1459" spans="1:14">
      <c r="A1459" s="1" t="s">
        <v>1471</v>
      </c>
      <c r="B1459">
        <f>HYPERLINK("https://www.suredividend.com/sure-analysis-research-database/","Revolve Group Inc")</f>
        <v>0</v>
      </c>
      <c r="C1459" t="s">
        <v>1927</v>
      </c>
      <c r="D1459">
        <v>21.91</v>
      </c>
      <c r="E1459">
        <v>0</v>
      </c>
      <c r="F1459" t="s">
        <v>1921</v>
      </c>
      <c r="G1459" t="s">
        <v>1921</v>
      </c>
      <c r="H1459">
        <v>0</v>
      </c>
      <c r="I1459">
        <v>892.579593</v>
      </c>
      <c r="J1459">
        <v>11.1278950875815</v>
      </c>
      <c r="K1459">
        <v>0</v>
      </c>
      <c r="L1459">
        <v>1.860533161241638</v>
      </c>
      <c r="M1459">
        <v>63.92</v>
      </c>
      <c r="N1459">
        <v>20.17</v>
      </c>
    </row>
    <row r="1460" spans="1:14">
      <c r="A1460" s="1" t="s">
        <v>1472</v>
      </c>
      <c r="B1460">
        <f>HYPERLINK("https://www.suredividend.com/sure-analysis-research-database/","Revolution Medicines Inc")</f>
        <v>0</v>
      </c>
      <c r="C1460" t="s">
        <v>1922</v>
      </c>
      <c r="D1460">
        <v>22.14</v>
      </c>
      <c r="E1460">
        <v>0</v>
      </c>
      <c r="F1460" t="s">
        <v>1921</v>
      </c>
      <c r="G1460" t="s">
        <v>1921</v>
      </c>
      <c r="H1460">
        <v>0</v>
      </c>
      <c r="I1460">
        <v>1965.82829</v>
      </c>
      <c r="J1460">
        <v>0</v>
      </c>
      <c r="K1460" t="s">
        <v>1921</v>
      </c>
      <c r="L1460">
        <v>1.535028739298487</v>
      </c>
      <c r="M1460">
        <v>27.49</v>
      </c>
      <c r="N1460">
        <v>14.08</v>
      </c>
    </row>
    <row r="1461" spans="1:14">
      <c r="A1461" s="1" t="s">
        <v>1473</v>
      </c>
      <c r="B1461">
        <f>HYPERLINK("https://www.suredividend.com/sure-analysis-research-database/","Revance Therapeutics Inc")</f>
        <v>0</v>
      </c>
      <c r="C1461" t="s">
        <v>1922</v>
      </c>
      <c r="D1461">
        <v>30.42</v>
      </c>
      <c r="E1461">
        <v>0</v>
      </c>
      <c r="F1461" t="s">
        <v>1921</v>
      </c>
      <c r="G1461" t="s">
        <v>1921</v>
      </c>
      <c r="H1461">
        <v>0</v>
      </c>
      <c r="I1461">
        <v>2502.762364</v>
      </c>
      <c r="J1461">
        <v>0</v>
      </c>
      <c r="K1461" t="s">
        <v>1921</v>
      </c>
      <c r="L1461">
        <v>1.304373286971664</v>
      </c>
      <c r="M1461">
        <v>30.95</v>
      </c>
      <c r="N1461">
        <v>11.27</v>
      </c>
    </row>
    <row r="1462" spans="1:14">
      <c r="A1462" s="1" t="s">
        <v>1474</v>
      </c>
      <c r="B1462">
        <f>HYPERLINK("https://www.suredividend.com/sure-analysis-research-database/","Retractable Technologies Inc")</f>
        <v>0</v>
      </c>
      <c r="C1462" t="s">
        <v>1922</v>
      </c>
      <c r="D1462">
        <v>1.85</v>
      </c>
      <c r="E1462">
        <v>0</v>
      </c>
      <c r="F1462" t="s">
        <v>1921</v>
      </c>
      <c r="G1462" t="s">
        <v>1921</v>
      </c>
      <c r="H1462">
        <v>0</v>
      </c>
      <c r="I1462">
        <v>60.933744</v>
      </c>
      <c r="J1462">
        <v>0</v>
      </c>
      <c r="K1462" t="s">
        <v>1921</v>
      </c>
      <c r="L1462">
        <v>0.946925767634284</v>
      </c>
      <c r="M1462">
        <v>6.84</v>
      </c>
      <c r="N1462">
        <v>1.61</v>
      </c>
    </row>
    <row r="1463" spans="1:14">
      <c r="A1463" s="1" t="s">
        <v>1475</v>
      </c>
      <c r="B1463">
        <f>HYPERLINK("https://www.suredividend.com/sure-analysis-research-database/","Redwood Trust Inc.")</f>
        <v>0</v>
      </c>
      <c r="C1463" t="s">
        <v>1929</v>
      </c>
      <c r="D1463">
        <v>7.16</v>
      </c>
      <c r="E1463">
        <v>0.122420494119614</v>
      </c>
      <c r="F1463">
        <v>0</v>
      </c>
      <c r="G1463">
        <v>-0.03857820993638306</v>
      </c>
      <c r="H1463">
        <v>0.8765307378964391</v>
      </c>
      <c r="I1463">
        <v>811.583501</v>
      </c>
      <c r="J1463" t="s">
        <v>1921</v>
      </c>
      <c r="K1463" t="s">
        <v>1921</v>
      </c>
      <c r="L1463">
        <v>1.044109148781751</v>
      </c>
      <c r="M1463">
        <v>11.66</v>
      </c>
      <c r="N1463">
        <v>5.34</v>
      </c>
    </row>
    <row r="1464" spans="1:14">
      <c r="A1464" s="1" t="s">
        <v>1476</v>
      </c>
      <c r="B1464">
        <f>HYPERLINK("https://www.suredividend.com/sure-analysis-research-database/","Prometheus Biosciences Inc")</f>
        <v>0</v>
      </c>
      <c r="C1464" t="s">
        <v>1921</v>
      </c>
      <c r="D1464">
        <v>108.37</v>
      </c>
      <c r="E1464">
        <v>0</v>
      </c>
      <c r="F1464" t="s">
        <v>1921</v>
      </c>
      <c r="G1464" t="s">
        <v>1921</v>
      </c>
      <c r="H1464">
        <v>0</v>
      </c>
      <c r="I1464">
        <v>4545.281199</v>
      </c>
      <c r="J1464">
        <v>0</v>
      </c>
      <c r="K1464" t="s">
        <v>1921</v>
      </c>
      <c r="L1464">
        <v>1.149106715979275</v>
      </c>
      <c r="M1464">
        <v>117.73</v>
      </c>
      <c r="N1464">
        <v>21.5</v>
      </c>
    </row>
    <row r="1465" spans="1:14">
      <c r="A1465" s="1" t="s">
        <v>1477</v>
      </c>
      <c r="B1465">
        <f>HYPERLINK("https://www.suredividend.com/sure-analysis-research-database/","Recursion Pharmaceuticals Inc")</f>
        <v>0</v>
      </c>
      <c r="C1465" t="s">
        <v>1921</v>
      </c>
      <c r="D1465">
        <v>7.52</v>
      </c>
      <c r="E1465">
        <v>0</v>
      </c>
      <c r="F1465" t="s">
        <v>1921</v>
      </c>
      <c r="G1465" t="s">
        <v>1921</v>
      </c>
      <c r="H1465">
        <v>0</v>
      </c>
      <c r="I1465">
        <v>1366.342911</v>
      </c>
      <c r="J1465">
        <v>0</v>
      </c>
      <c r="K1465" t="s">
        <v>1921</v>
      </c>
      <c r="L1465">
        <v>2.062954682693941</v>
      </c>
      <c r="M1465">
        <v>16.41</v>
      </c>
      <c r="N1465">
        <v>4.92</v>
      </c>
    </row>
    <row r="1466" spans="1:14">
      <c r="A1466" s="1" t="s">
        <v>1478</v>
      </c>
      <c r="B1466">
        <f>HYPERLINK("https://www.suredividend.com/sure-analysis-research-database/","RxSight Inc")</f>
        <v>0</v>
      </c>
      <c r="C1466" t="s">
        <v>1921</v>
      </c>
      <c r="D1466">
        <v>13.55</v>
      </c>
      <c r="E1466">
        <v>0</v>
      </c>
      <c r="F1466" t="s">
        <v>1921</v>
      </c>
      <c r="G1466" t="s">
        <v>1921</v>
      </c>
      <c r="H1466">
        <v>0</v>
      </c>
      <c r="I1466">
        <v>375.628114</v>
      </c>
      <c r="J1466">
        <v>0</v>
      </c>
      <c r="K1466" t="s">
        <v>1921</v>
      </c>
      <c r="L1466">
        <v>1.145260610450267</v>
      </c>
      <c r="M1466">
        <v>16.99</v>
      </c>
      <c r="N1466">
        <v>9.199999999999999</v>
      </c>
    </row>
    <row r="1467" spans="1:14">
      <c r="A1467" s="1" t="s">
        <v>1479</v>
      </c>
      <c r="B1467">
        <f>HYPERLINK("https://www.suredividend.com/sure-analysis-research-database/","Rackspace Technology Inc")</f>
        <v>0</v>
      </c>
      <c r="C1467" t="s">
        <v>1921</v>
      </c>
      <c r="D1467">
        <v>2.67</v>
      </c>
      <c r="E1467">
        <v>0</v>
      </c>
      <c r="F1467" t="s">
        <v>1921</v>
      </c>
      <c r="G1467" t="s">
        <v>1921</v>
      </c>
      <c r="H1467">
        <v>0</v>
      </c>
      <c r="I1467">
        <v>563.663369</v>
      </c>
      <c r="J1467">
        <v>0</v>
      </c>
      <c r="K1467" t="s">
        <v>1921</v>
      </c>
      <c r="L1467">
        <v>2.087695521444044</v>
      </c>
      <c r="M1467">
        <v>13.71</v>
      </c>
      <c r="N1467">
        <v>2.51</v>
      </c>
    </row>
    <row r="1468" spans="1:14">
      <c r="A1468" s="1" t="s">
        <v>1480</v>
      </c>
      <c r="B1468">
        <f>HYPERLINK("https://www.suredividend.com/sure-analysis-research-database/","Rayonier Advanced Materials Inc")</f>
        <v>0</v>
      </c>
      <c r="C1468" t="s">
        <v>1925</v>
      </c>
      <c r="D1468">
        <v>9.16</v>
      </c>
      <c r="E1468">
        <v>0</v>
      </c>
      <c r="F1468" t="s">
        <v>1921</v>
      </c>
      <c r="G1468" t="s">
        <v>1921</v>
      </c>
      <c r="H1468">
        <v>0</v>
      </c>
      <c r="I1468">
        <v>585.975881</v>
      </c>
      <c r="J1468" t="s">
        <v>1921</v>
      </c>
      <c r="K1468">
        <v>-0</v>
      </c>
      <c r="L1468">
        <v>1.366226342908972</v>
      </c>
      <c r="M1468">
        <v>9.84</v>
      </c>
      <c r="N1468">
        <v>2.44</v>
      </c>
    </row>
    <row r="1469" spans="1:14">
      <c r="A1469" s="1" t="s">
        <v>1481</v>
      </c>
      <c r="B1469">
        <f>HYPERLINK("https://www.suredividend.com/sure-analysis-research-database/","Ryerson Holding Corp.")</f>
        <v>0</v>
      </c>
      <c r="C1469" t="s">
        <v>1924</v>
      </c>
      <c r="D1469">
        <v>31.5</v>
      </c>
      <c r="E1469">
        <v>0.016869816813224</v>
      </c>
      <c r="F1469" t="s">
        <v>1921</v>
      </c>
      <c r="G1469" t="s">
        <v>1921</v>
      </c>
      <c r="H1469">
        <v>0.5313992296165611</v>
      </c>
      <c r="I1469">
        <v>1165.905594</v>
      </c>
      <c r="J1469">
        <v>2.235677073825503</v>
      </c>
      <c r="K1469">
        <v>0.03939208521990815</v>
      </c>
      <c r="L1469">
        <v>1.484817675838993</v>
      </c>
      <c r="M1469">
        <v>43.44</v>
      </c>
      <c r="N1469">
        <v>17.57</v>
      </c>
    </row>
    <row r="1470" spans="1:14">
      <c r="A1470" s="1" t="s">
        <v>1482</v>
      </c>
      <c r="B1470">
        <f>HYPERLINK("https://www.suredividend.com/sure-analysis-research-database/","Rhythm Pharmaceuticals Inc.")</f>
        <v>0</v>
      </c>
      <c r="C1470" t="s">
        <v>1922</v>
      </c>
      <c r="D1470">
        <v>31.81</v>
      </c>
      <c r="E1470">
        <v>0</v>
      </c>
      <c r="F1470" t="s">
        <v>1921</v>
      </c>
      <c r="G1470" t="s">
        <v>1921</v>
      </c>
      <c r="H1470">
        <v>0</v>
      </c>
      <c r="I1470">
        <v>1792.440409</v>
      </c>
      <c r="J1470">
        <v>0</v>
      </c>
      <c r="K1470" t="s">
        <v>1921</v>
      </c>
      <c r="L1470">
        <v>1.373837015102329</v>
      </c>
      <c r="M1470">
        <v>34.99</v>
      </c>
      <c r="N1470">
        <v>3.04</v>
      </c>
    </row>
    <row r="1471" spans="1:14">
      <c r="A1471" s="1" t="s">
        <v>1483</v>
      </c>
      <c r="B1471">
        <f>HYPERLINK("https://www.suredividend.com/sure-analysis-SAFE/","Safehold Inc")</f>
        <v>0</v>
      </c>
      <c r="C1471" t="s">
        <v>1929</v>
      </c>
      <c r="D1471">
        <v>31.25</v>
      </c>
      <c r="E1471">
        <v>0.02272</v>
      </c>
      <c r="F1471">
        <v>0.04117647058823515</v>
      </c>
      <c r="G1471">
        <v>0.03365688434519343</v>
      </c>
      <c r="H1471">
        <v>0.694760926188827</v>
      </c>
      <c r="I1471">
        <v>1943.357281</v>
      </c>
      <c r="J1471">
        <v>0</v>
      </c>
      <c r="K1471" t="s">
        <v>1921</v>
      </c>
      <c r="L1471">
        <v>1.44399690151823</v>
      </c>
      <c r="M1471">
        <v>70.51000000000001</v>
      </c>
      <c r="N1471">
        <v>23.5</v>
      </c>
    </row>
    <row r="1472" spans="1:14">
      <c r="A1472" s="1" t="s">
        <v>1484</v>
      </c>
      <c r="B1472">
        <f>HYPERLINK("https://www.suredividend.com/sure-analysis-research-database/","Sanderson Farms, Inc.")</f>
        <v>0</v>
      </c>
      <c r="C1472" t="s">
        <v>1928</v>
      </c>
      <c r="D1472">
        <v>204</v>
      </c>
      <c r="E1472">
        <v>0</v>
      </c>
      <c r="F1472" t="s">
        <v>1921</v>
      </c>
      <c r="G1472" t="s">
        <v>1921</v>
      </c>
      <c r="H1472">
        <v>1.759999990463256</v>
      </c>
      <c r="I1472">
        <v>0</v>
      </c>
      <c r="J1472">
        <v>0</v>
      </c>
      <c r="K1472">
        <v>0.04553686909348657</v>
      </c>
    </row>
    <row r="1473" spans="1:14">
      <c r="A1473" s="1" t="s">
        <v>1485</v>
      </c>
      <c r="B1473">
        <f>HYPERLINK("https://www.suredividend.com/sure-analysis-research-database/","Safety Insurance Group, Inc.")</f>
        <v>0</v>
      </c>
      <c r="C1473" t="s">
        <v>1923</v>
      </c>
      <c r="D1473">
        <v>84.01000000000001</v>
      </c>
      <c r="E1473">
        <v>0.042326726349113</v>
      </c>
      <c r="F1473">
        <v>0</v>
      </c>
      <c r="G1473">
        <v>0.02383625553960966</v>
      </c>
      <c r="H1473">
        <v>3.555868280589036</v>
      </c>
      <c r="I1473">
        <v>1238.107288</v>
      </c>
      <c r="J1473">
        <v>22.55492117719928</v>
      </c>
      <c r="K1473">
        <v>0.9533158929193125</v>
      </c>
      <c r="L1473">
        <v>0.380427241360291</v>
      </c>
      <c r="M1473">
        <v>97.8</v>
      </c>
      <c r="N1473">
        <v>75.25</v>
      </c>
    </row>
    <row r="1474" spans="1:14">
      <c r="A1474" s="1" t="s">
        <v>1486</v>
      </c>
      <c r="B1474">
        <f>HYPERLINK("https://www.suredividend.com/sure-analysis-research-database/","Sonic Automotive, Inc.")</f>
        <v>0</v>
      </c>
      <c r="C1474" t="s">
        <v>1927</v>
      </c>
      <c r="D1474">
        <v>49.13</v>
      </c>
      <c r="E1474">
        <v>0.020791138377174</v>
      </c>
      <c r="F1474">
        <v>1.333333333333333</v>
      </c>
      <c r="G1474">
        <v>0.3608221078587388</v>
      </c>
      <c r="H1474">
        <v>1.021468628470574</v>
      </c>
      <c r="I1474">
        <v>1338.124234</v>
      </c>
      <c r="J1474">
        <v>3.588108946486366</v>
      </c>
      <c r="K1474">
        <v>0.1152899129199294</v>
      </c>
      <c r="L1474">
        <v>1.144969669564249</v>
      </c>
      <c r="M1474">
        <v>58.53</v>
      </c>
      <c r="N1474">
        <v>33.79</v>
      </c>
    </row>
    <row r="1475" spans="1:14">
      <c r="A1475" s="1" t="s">
        <v>1487</v>
      </c>
      <c r="B1475">
        <f>HYPERLINK("https://www.suredividend.com/sure-analysis-research-database/","Saia Inc.")</f>
        <v>0</v>
      </c>
      <c r="C1475" t="s">
        <v>1924</v>
      </c>
      <c r="D1475">
        <v>227.41</v>
      </c>
      <c r="E1475">
        <v>0</v>
      </c>
      <c r="F1475" t="s">
        <v>1921</v>
      </c>
      <c r="G1475" t="s">
        <v>1921</v>
      </c>
      <c r="H1475">
        <v>0</v>
      </c>
      <c r="I1475">
        <v>6017.828711</v>
      </c>
      <c r="J1475">
        <v>16.70129887192254</v>
      </c>
      <c r="K1475">
        <v>0</v>
      </c>
      <c r="L1475">
        <v>1.607479298549446</v>
      </c>
      <c r="M1475">
        <v>304.49</v>
      </c>
      <c r="N1475">
        <v>168.03</v>
      </c>
    </row>
    <row r="1476" spans="1:14">
      <c r="A1476" s="1" t="s">
        <v>1488</v>
      </c>
      <c r="B1476">
        <f>HYPERLINK("https://www.suredividend.com/sure-analysis-research-database/","SailPoint Technologies Holdings Inc")</f>
        <v>0</v>
      </c>
      <c r="C1476" t="s">
        <v>1920</v>
      </c>
      <c r="D1476">
        <v>65.23999999999999</v>
      </c>
      <c r="E1476">
        <v>0</v>
      </c>
      <c r="F1476" t="s">
        <v>1921</v>
      </c>
      <c r="G1476" t="s">
        <v>1921</v>
      </c>
      <c r="H1476">
        <v>0</v>
      </c>
      <c r="I1476">
        <v>6185.556996</v>
      </c>
      <c r="J1476" t="s">
        <v>1921</v>
      </c>
      <c r="K1476">
        <v>-0</v>
      </c>
      <c r="L1476">
        <v>0.5383165590719741</v>
      </c>
      <c r="M1476">
        <v>65.23999999999999</v>
      </c>
      <c r="N1476">
        <v>34.98</v>
      </c>
    </row>
    <row r="1477" spans="1:14">
      <c r="A1477" s="1" t="s">
        <v>1489</v>
      </c>
      <c r="B1477">
        <f>HYPERLINK("https://www.suredividend.com/sure-analysis-research-database/","Sana Biotechnology Inc")</f>
        <v>0</v>
      </c>
      <c r="C1477" t="s">
        <v>1921</v>
      </c>
      <c r="D1477">
        <v>3.74</v>
      </c>
      <c r="E1477">
        <v>0</v>
      </c>
      <c r="F1477" t="s">
        <v>1921</v>
      </c>
      <c r="G1477" t="s">
        <v>1921</v>
      </c>
      <c r="H1477">
        <v>0</v>
      </c>
      <c r="I1477">
        <v>713.316904</v>
      </c>
      <c r="J1477">
        <v>0</v>
      </c>
      <c r="K1477" t="s">
        <v>1921</v>
      </c>
      <c r="L1477">
        <v>2.349910282324536</v>
      </c>
      <c r="M1477">
        <v>12.89</v>
      </c>
      <c r="N1477">
        <v>3.15</v>
      </c>
    </row>
    <row r="1478" spans="1:14">
      <c r="A1478" s="1" t="s">
        <v>1490</v>
      </c>
      <c r="B1478">
        <f>HYPERLINK("https://www.suredividend.com/sure-analysis-research-database/","Sanmina Corp")</f>
        <v>0</v>
      </c>
      <c r="C1478" t="s">
        <v>1920</v>
      </c>
      <c r="D1478">
        <v>58.94</v>
      </c>
      <c r="E1478">
        <v>0</v>
      </c>
      <c r="F1478" t="s">
        <v>1921</v>
      </c>
      <c r="G1478" t="s">
        <v>1921</v>
      </c>
      <c r="H1478">
        <v>0</v>
      </c>
      <c r="I1478">
        <v>3384.90752</v>
      </c>
      <c r="J1478">
        <v>13.21604835206797</v>
      </c>
      <c r="K1478">
        <v>0</v>
      </c>
      <c r="L1478">
        <v>0.980665199237392</v>
      </c>
      <c r="M1478">
        <v>69.28</v>
      </c>
      <c r="N1478">
        <v>35.36</v>
      </c>
    </row>
    <row r="1479" spans="1:14">
      <c r="A1479" s="1" t="s">
        <v>1491</v>
      </c>
      <c r="B1479">
        <f>HYPERLINK("https://www.suredividend.com/sure-analysis-research-database/","Sandy Spring Bancorp")</f>
        <v>0</v>
      </c>
      <c r="C1479" t="s">
        <v>1923</v>
      </c>
      <c r="D1479">
        <v>35</v>
      </c>
      <c r="E1479">
        <v>0.038328494880517</v>
      </c>
      <c r="F1479">
        <v>0.0625</v>
      </c>
      <c r="G1479">
        <v>0.05511819868320456</v>
      </c>
      <c r="H1479">
        <v>1.341497320818097</v>
      </c>
      <c r="I1479">
        <v>1562.549415</v>
      </c>
      <c r="J1479">
        <v>8.822280649751008</v>
      </c>
      <c r="K1479">
        <v>0.3422187042903309</v>
      </c>
      <c r="L1479">
        <v>0.7195330881078591</v>
      </c>
      <c r="M1479">
        <v>50.3</v>
      </c>
      <c r="N1479">
        <v>32.01</v>
      </c>
    </row>
    <row r="1480" spans="1:14">
      <c r="A1480" s="1" t="s">
        <v>1492</v>
      </c>
      <c r="B1480">
        <f>HYPERLINK("https://www.suredividend.com/sure-analysis-research-database/","EchoStar Corp")</f>
        <v>0</v>
      </c>
      <c r="C1480" t="s">
        <v>1920</v>
      </c>
      <c r="D1480">
        <v>16.03</v>
      </c>
      <c r="E1480">
        <v>0</v>
      </c>
      <c r="F1480" t="s">
        <v>1921</v>
      </c>
      <c r="G1480" t="s">
        <v>1921</v>
      </c>
      <c r="H1480">
        <v>0</v>
      </c>
      <c r="I1480">
        <v>568.164883</v>
      </c>
      <c r="J1480">
        <v>11.06326200327128</v>
      </c>
      <c r="K1480">
        <v>0</v>
      </c>
      <c r="L1480">
        <v>0.7274164809424151</v>
      </c>
      <c r="M1480">
        <v>26.8</v>
      </c>
      <c r="N1480">
        <v>15.26</v>
      </c>
    </row>
    <row r="1481" spans="1:14">
      <c r="A1481" s="1" t="s">
        <v>1493</v>
      </c>
      <c r="B1481">
        <f>HYPERLINK("https://www.suredividend.com/sure-analysis-research-database/","Cassava Sciences Inc")</f>
        <v>0</v>
      </c>
      <c r="C1481" t="s">
        <v>1922</v>
      </c>
      <c r="D1481">
        <v>28.82</v>
      </c>
      <c r="E1481">
        <v>0</v>
      </c>
      <c r="F1481" t="s">
        <v>1921</v>
      </c>
      <c r="G1481" t="s">
        <v>1921</v>
      </c>
      <c r="H1481">
        <v>0</v>
      </c>
      <c r="I1481">
        <v>1154.78541</v>
      </c>
      <c r="J1481">
        <v>0</v>
      </c>
      <c r="K1481" t="s">
        <v>1921</v>
      </c>
      <c r="L1481">
        <v>1.022691851759534</v>
      </c>
      <c r="M1481">
        <v>62.49</v>
      </c>
      <c r="N1481">
        <v>13.84</v>
      </c>
    </row>
    <row r="1482" spans="1:14">
      <c r="A1482" s="1" t="s">
        <v>1494</v>
      </c>
      <c r="B1482">
        <f>HYPERLINK("https://www.suredividend.com/sure-analysis-research-database/","Spirit Airlines Inc")</f>
        <v>0</v>
      </c>
      <c r="C1482" t="s">
        <v>1924</v>
      </c>
      <c r="D1482">
        <v>19.28</v>
      </c>
      <c r="E1482">
        <v>0</v>
      </c>
      <c r="F1482" t="s">
        <v>1921</v>
      </c>
      <c r="G1482" t="s">
        <v>1921</v>
      </c>
      <c r="H1482">
        <v>0</v>
      </c>
      <c r="I1482">
        <v>2098.766083</v>
      </c>
      <c r="J1482" t="s">
        <v>1921</v>
      </c>
      <c r="K1482">
        <v>-0</v>
      </c>
      <c r="L1482">
        <v>1.030167730907235</v>
      </c>
      <c r="M1482">
        <v>28.3</v>
      </c>
      <c r="N1482">
        <v>15.92</v>
      </c>
    </row>
    <row r="1483" spans="1:14">
      <c r="A1483" s="1" t="s">
        <v>1495</v>
      </c>
      <c r="B1483">
        <f>HYPERLINK("https://www.suredividend.com/sure-analysis-research-database/","Safe Bulkers, Inc")</f>
        <v>0</v>
      </c>
      <c r="C1483" t="s">
        <v>1924</v>
      </c>
      <c r="D1483">
        <v>2.9</v>
      </c>
      <c r="E1483">
        <v>0.051492543186565</v>
      </c>
      <c r="F1483" t="s">
        <v>1921</v>
      </c>
      <c r="G1483" t="s">
        <v>1921</v>
      </c>
      <c r="H1483">
        <v>0.149328375241039</v>
      </c>
      <c r="I1483">
        <v>352.758433</v>
      </c>
      <c r="J1483">
        <v>1.82624045795994</v>
      </c>
      <c r="K1483">
        <v>0.09391721713272895</v>
      </c>
      <c r="L1483">
        <v>0.820973292882172</v>
      </c>
      <c r="M1483">
        <v>5.05</v>
      </c>
      <c r="N1483">
        <v>2.35</v>
      </c>
    </row>
    <row r="1484" spans="1:14">
      <c r="A1484" s="1" t="s">
        <v>1496</v>
      </c>
      <c r="B1484">
        <f>HYPERLINK("https://www.suredividend.com/sure-analysis-research-database/","Seacoast Banking Corp. Of Florida")</f>
        <v>0</v>
      </c>
      <c r="C1484" t="s">
        <v>1923</v>
      </c>
      <c r="D1484">
        <v>31.89</v>
      </c>
      <c r="E1484">
        <v>0.019918539024838</v>
      </c>
      <c r="F1484" t="s">
        <v>1921</v>
      </c>
      <c r="G1484" t="s">
        <v>1921</v>
      </c>
      <c r="H1484">
        <v>0.635202209502104</v>
      </c>
      <c r="I1484">
        <v>1958.499253</v>
      </c>
      <c r="J1484">
        <v>16.47043354276343</v>
      </c>
      <c r="K1484">
        <v>0.3257447228215918</v>
      </c>
      <c r="L1484">
        <v>0.741197110836728</v>
      </c>
      <c r="M1484">
        <v>38.54</v>
      </c>
      <c r="N1484">
        <v>28.9</v>
      </c>
    </row>
    <row r="1485" spans="1:14">
      <c r="A1485" s="1" t="s">
        <v>1497</v>
      </c>
      <c r="B1485">
        <f>HYPERLINK("https://www.suredividend.com/sure-analysis-research-database/","Sinclair Broadcast Group, Inc.")</f>
        <v>0</v>
      </c>
      <c r="C1485" t="s">
        <v>1931</v>
      </c>
      <c r="D1485">
        <v>17.5</v>
      </c>
      <c r="E1485">
        <v>0.056250663172226</v>
      </c>
      <c r="F1485">
        <v>0.25</v>
      </c>
      <c r="G1485">
        <v>0.06790716584560208</v>
      </c>
      <c r="H1485">
        <v>0.9843866055139651</v>
      </c>
      <c r="I1485">
        <v>802.388545</v>
      </c>
      <c r="J1485">
        <v>0.31993163676236</v>
      </c>
      <c r="K1485">
        <v>0.02825449499179004</v>
      </c>
      <c r="L1485">
        <v>1.034374361375535</v>
      </c>
      <c r="M1485">
        <v>30.02</v>
      </c>
      <c r="N1485">
        <v>14.37</v>
      </c>
    </row>
    <row r="1486" spans="1:14">
      <c r="A1486" s="1" t="s">
        <v>1498</v>
      </c>
      <c r="B1486">
        <f>HYPERLINK("https://www.suredividend.com/sure-analysis-research-database/","Sally Beauty Holdings Inc")</f>
        <v>0</v>
      </c>
      <c r="C1486" t="s">
        <v>1927</v>
      </c>
      <c r="D1486">
        <v>14.24</v>
      </c>
      <c r="E1486">
        <v>0</v>
      </c>
      <c r="F1486" t="s">
        <v>1921</v>
      </c>
      <c r="G1486" t="s">
        <v>1921</v>
      </c>
      <c r="H1486">
        <v>0</v>
      </c>
      <c r="I1486">
        <v>1524.287322</v>
      </c>
      <c r="J1486">
        <v>6.616921722159036</v>
      </c>
      <c r="K1486">
        <v>0</v>
      </c>
      <c r="L1486">
        <v>1.11374525578639</v>
      </c>
      <c r="M1486">
        <v>19.08</v>
      </c>
      <c r="N1486">
        <v>10.95</v>
      </c>
    </row>
    <row r="1487" spans="1:14">
      <c r="A1487" s="1" t="s">
        <v>1499</v>
      </c>
      <c r="B1487">
        <f>HYPERLINK("https://www.suredividend.com/sure-analysis-SBRA/","Sabra Healthcare REIT Inc")</f>
        <v>0</v>
      </c>
      <c r="C1487" t="s">
        <v>1929</v>
      </c>
      <c r="D1487">
        <v>12.96</v>
      </c>
      <c r="E1487">
        <v>0.09259259259259259</v>
      </c>
      <c r="F1487">
        <v>0</v>
      </c>
      <c r="G1487">
        <v>-0.07789208851827223</v>
      </c>
      <c r="H1487">
        <v>1.160958075506507</v>
      </c>
      <c r="I1487">
        <v>2993.456814</v>
      </c>
      <c r="J1487" t="s">
        <v>1921</v>
      </c>
      <c r="K1487" t="s">
        <v>1921</v>
      </c>
      <c r="L1487">
        <v>0.618310598326106</v>
      </c>
      <c r="M1487">
        <v>15.91</v>
      </c>
      <c r="N1487">
        <v>10.71</v>
      </c>
    </row>
    <row r="1488" spans="1:14">
      <c r="A1488" s="1" t="s">
        <v>1500</v>
      </c>
      <c r="B1488">
        <f>HYPERLINK("https://www.suredividend.com/sure-analysis-SBSI/","Southside Bancshares Inc")</f>
        <v>0</v>
      </c>
      <c r="C1488" t="s">
        <v>1923</v>
      </c>
      <c r="D1488">
        <v>35.59</v>
      </c>
      <c r="E1488">
        <v>0.03821298117448722</v>
      </c>
      <c r="F1488">
        <v>0</v>
      </c>
      <c r="G1488">
        <v>0.02534857565773274</v>
      </c>
      <c r="H1488">
        <v>1.342006881616202</v>
      </c>
      <c r="I1488">
        <v>1142.617662</v>
      </c>
      <c r="J1488">
        <v>10.77544735238922</v>
      </c>
      <c r="K1488">
        <v>0.4091484395171348</v>
      </c>
      <c r="L1488">
        <v>0.4673423701609981</v>
      </c>
      <c r="M1488">
        <v>43.23</v>
      </c>
      <c r="N1488">
        <v>30.89</v>
      </c>
    </row>
    <row r="1489" spans="1:14">
      <c r="A1489" s="1" t="s">
        <v>1501</v>
      </c>
      <c r="B1489">
        <f>HYPERLINK("https://www.suredividend.com/sure-analysis-research-database/","Silverback Therapeutics Inc")</f>
        <v>0</v>
      </c>
      <c r="C1489" t="s">
        <v>1921</v>
      </c>
      <c r="D1489">
        <v>6.06</v>
      </c>
      <c r="E1489">
        <v>0</v>
      </c>
      <c r="F1489" t="s">
        <v>1921</v>
      </c>
      <c r="G1489" t="s">
        <v>1921</v>
      </c>
      <c r="H1489">
        <v>0</v>
      </c>
      <c r="I1489">
        <v>211.662444</v>
      </c>
      <c r="J1489">
        <v>0</v>
      </c>
      <c r="K1489" t="s">
        <v>1921</v>
      </c>
      <c r="L1489">
        <v>1.021357375189392</v>
      </c>
      <c r="M1489">
        <v>8.970000000000001</v>
      </c>
      <c r="N1489">
        <v>2.8</v>
      </c>
    </row>
    <row r="1490" spans="1:14">
      <c r="A1490" s="1" t="s">
        <v>1502</v>
      </c>
      <c r="B1490">
        <f>HYPERLINK("https://www.suredividend.com/sure-analysis-SCHL/","Scholastic Corp.")</f>
        <v>0</v>
      </c>
      <c r="C1490" t="s">
        <v>1931</v>
      </c>
      <c r="D1490">
        <v>40.44</v>
      </c>
      <c r="E1490">
        <v>0.01978239366963403</v>
      </c>
      <c r="F1490">
        <v>0.3333333333333335</v>
      </c>
      <c r="G1490">
        <v>0.05922384104881218</v>
      </c>
      <c r="H1490">
        <v>0.6954818552060691</v>
      </c>
      <c r="I1490">
        <v>1308.427708</v>
      </c>
      <c r="J1490">
        <v>19.64606167567567</v>
      </c>
      <c r="K1490">
        <v>0.3719154305914808</v>
      </c>
      <c r="L1490">
        <v>0.459325146078997</v>
      </c>
      <c r="M1490">
        <v>48.03</v>
      </c>
      <c r="N1490">
        <v>28.07</v>
      </c>
    </row>
    <row r="1491" spans="1:14">
      <c r="A1491" s="1" t="s">
        <v>1503</v>
      </c>
      <c r="B1491">
        <f>HYPERLINK("https://www.suredividend.com/sure-analysis-research-database/","Schnitzer Steel Industries, Inc.")</f>
        <v>0</v>
      </c>
      <c r="C1491" t="s">
        <v>1925</v>
      </c>
      <c r="D1491">
        <v>30.88</v>
      </c>
      <c r="E1491">
        <v>0.024075013393867</v>
      </c>
      <c r="F1491">
        <v>0</v>
      </c>
      <c r="G1491">
        <v>0</v>
      </c>
      <c r="H1491">
        <v>0.743436413602629</v>
      </c>
      <c r="I1491">
        <v>838.860758</v>
      </c>
      <c r="J1491">
        <v>8.003403760983847</v>
      </c>
      <c r="K1491">
        <v>0.2053691750283506</v>
      </c>
      <c r="L1491">
        <v>1.325011549781108</v>
      </c>
      <c r="M1491">
        <v>58.96</v>
      </c>
      <c r="N1491">
        <v>25.78</v>
      </c>
    </row>
    <row r="1492" spans="1:14">
      <c r="A1492" s="1" t="s">
        <v>1504</v>
      </c>
      <c r="B1492">
        <f>HYPERLINK("https://www.suredividend.com/sure-analysis-SCL/","Stepan Co.")</f>
        <v>0</v>
      </c>
      <c r="C1492" t="s">
        <v>1925</v>
      </c>
      <c r="D1492">
        <v>107.47</v>
      </c>
      <c r="E1492">
        <v>0.01358518656369219</v>
      </c>
      <c r="F1492">
        <v>0.08955223880596996</v>
      </c>
      <c r="G1492">
        <v>0.1015952871926673</v>
      </c>
      <c r="H1492">
        <v>1.359722580893415</v>
      </c>
      <c r="I1492">
        <v>2388.876476</v>
      </c>
      <c r="J1492">
        <v>15.58159382509099</v>
      </c>
      <c r="K1492">
        <v>0.2050863621257036</v>
      </c>
      <c r="L1492">
        <v>0.7373335167729651</v>
      </c>
      <c r="M1492">
        <v>121.52</v>
      </c>
      <c r="N1492">
        <v>91.33</v>
      </c>
    </row>
    <row r="1493" spans="1:14">
      <c r="A1493" s="1" t="s">
        <v>1505</v>
      </c>
      <c r="B1493">
        <f>HYPERLINK("https://www.suredividend.com/sure-analysis-research-database/","Comscore Inc.")</f>
        <v>0</v>
      </c>
      <c r="C1493" t="s">
        <v>1931</v>
      </c>
      <c r="D1493">
        <v>1.27</v>
      </c>
      <c r="E1493">
        <v>0</v>
      </c>
      <c r="F1493" t="s">
        <v>1921</v>
      </c>
      <c r="G1493" t="s">
        <v>1921</v>
      </c>
      <c r="H1493">
        <v>0</v>
      </c>
      <c r="I1493">
        <v>116.852203</v>
      </c>
      <c r="J1493" t="s">
        <v>1921</v>
      </c>
      <c r="K1493">
        <v>-0</v>
      </c>
      <c r="L1493">
        <v>1.09795117688583</v>
      </c>
      <c r="M1493">
        <v>3.42</v>
      </c>
      <c r="N1493">
        <v>1</v>
      </c>
    </row>
    <row r="1494" spans="1:14">
      <c r="A1494" s="1" t="s">
        <v>1506</v>
      </c>
      <c r="B1494">
        <f>HYPERLINK("https://www.suredividend.com/sure-analysis-research-database/","Steelcase, Inc.")</f>
        <v>0</v>
      </c>
      <c r="C1494" t="s">
        <v>1924</v>
      </c>
      <c r="D1494">
        <v>7.48</v>
      </c>
      <c r="E1494">
        <v>0.06397988260576301</v>
      </c>
      <c r="F1494">
        <v>-0.3103448275862069</v>
      </c>
      <c r="G1494">
        <v>-0.05825516650174434</v>
      </c>
      <c r="H1494">
        <v>0.478569521891111</v>
      </c>
      <c r="I1494">
        <v>690.468612</v>
      </c>
      <c r="J1494">
        <v>40.61580072</v>
      </c>
      <c r="K1494">
        <v>3.284622662258827</v>
      </c>
      <c r="L1494">
        <v>0.9647223696451541</v>
      </c>
      <c r="M1494">
        <v>12.25</v>
      </c>
      <c r="N1494">
        <v>6.11</v>
      </c>
    </row>
    <row r="1495" spans="1:14">
      <c r="A1495" s="1" t="s">
        <v>1507</v>
      </c>
      <c r="B1495">
        <f>HYPERLINK("https://www.suredividend.com/sure-analysis-research-database/","Scansource, Inc.")</f>
        <v>0</v>
      </c>
      <c r="C1495" t="s">
        <v>1920</v>
      </c>
      <c r="D1495">
        <v>30.18</v>
      </c>
      <c r="E1495">
        <v>0</v>
      </c>
      <c r="F1495" t="s">
        <v>1921</v>
      </c>
      <c r="G1495" t="s">
        <v>1921</v>
      </c>
      <c r="H1495">
        <v>0</v>
      </c>
      <c r="I1495">
        <v>765.013988</v>
      </c>
      <c r="J1495">
        <v>8.428327340112595</v>
      </c>
      <c r="K1495">
        <v>0</v>
      </c>
      <c r="L1495">
        <v>0.791348354572958</v>
      </c>
      <c r="M1495">
        <v>41.01</v>
      </c>
      <c r="N1495">
        <v>25.75</v>
      </c>
    </row>
    <row r="1496" spans="1:14">
      <c r="A1496" s="1" t="s">
        <v>1508</v>
      </c>
      <c r="B1496">
        <f>HYPERLINK("https://www.suredividend.com/sure-analysis-research-database/","Sculptor Capital Management Inc")</f>
        <v>0</v>
      </c>
      <c r="C1496" t="s">
        <v>1923</v>
      </c>
      <c r="D1496">
        <v>9.390000000000001</v>
      </c>
      <c r="E1496">
        <v>0.026438852602982</v>
      </c>
      <c r="F1496" t="s">
        <v>1921</v>
      </c>
      <c r="G1496" t="s">
        <v>1921</v>
      </c>
      <c r="H1496">
        <v>0.248260825942003</v>
      </c>
      <c r="I1496">
        <v>224.636303</v>
      </c>
      <c r="J1496" t="s">
        <v>1921</v>
      </c>
      <c r="K1496" t="s">
        <v>1921</v>
      </c>
      <c r="L1496">
        <v>1.380279850894893</v>
      </c>
      <c r="M1496">
        <v>21.17</v>
      </c>
      <c r="N1496">
        <v>7.79</v>
      </c>
    </row>
    <row r="1497" spans="1:14">
      <c r="A1497" s="1" t="s">
        <v>1509</v>
      </c>
      <c r="B1497">
        <f>HYPERLINK("https://www.suredividend.com/sure-analysis-research-database/","Shoe Carnival, Inc.")</f>
        <v>0</v>
      </c>
      <c r="C1497" t="s">
        <v>1927</v>
      </c>
      <c r="D1497">
        <v>24.44</v>
      </c>
      <c r="E1497">
        <v>0.018324650900062</v>
      </c>
      <c r="F1497">
        <v>0.2857142857142856</v>
      </c>
      <c r="G1497">
        <v>0.03713728933664817</v>
      </c>
      <c r="H1497">
        <v>0.44785446799753</v>
      </c>
      <c r="I1497">
        <v>663.941317</v>
      </c>
      <c r="J1497">
        <v>6.088467725517887</v>
      </c>
      <c r="K1497">
        <v>0.1301902523248634</v>
      </c>
      <c r="L1497">
        <v>1.28454139826859</v>
      </c>
      <c r="M1497">
        <v>38.75</v>
      </c>
      <c r="N1497">
        <v>19.27</v>
      </c>
    </row>
    <row r="1498" spans="1:14">
      <c r="A1498" s="1" t="s">
        <v>1510</v>
      </c>
      <c r="B1498">
        <f>HYPERLINK("https://www.suredividend.com/sure-analysis-research-database/","SecureWorks Corp")</f>
        <v>0</v>
      </c>
      <c r="C1498" t="s">
        <v>1920</v>
      </c>
      <c r="D1498">
        <v>6.42</v>
      </c>
      <c r="E1498">
        <v>0</v>
      </c>
      <c r="F1498" t="s">
        <v>1921</v>
      </c>
      <c r="G1498" t="s">
        <v>1921</v>
      </c>
      <c r="H1498">
        <v>0</v>
      </c>
      <c r="I1498">
        <v>94.056017</v>
      </c>
      <c r="J1498" t="s">
        <v>1921</v>
      </c>
      <c r="K1498">
        <v>-0</v>
      </c>
      <c r="L1498">
        <v>1.061632707668653</v>
      </c>
      <c r="M1498">
        <v>17.2</v>
      </c>
      <c r="N1498">
        <v>5.28</v>
      </c>
    </row>
    <row r="1499" spans="1:14">
      <c r="A1499" s="1" t="s">
        <v>1511</v>
      </c>
      <c r="B1499">
        <f>HYPERLINK("https://www.suredividend.com/sure-analysis-research-database/","Schrodinger Inc")</f>
        <v>0</v>
      </c>
      <c r="C1499" t="s">
        <v>1922</v>
      </c>
      <c r="D1499">
        <v>18.66</v>
      </c>
      <c r="E1499">
        <v>0</v>
      </c>
      <c r="F1499" t="s">
        <v>1921</v>
      </c>
      <c r="G1499" t="s">
        <v>1921</v>
      </c>
      <c r="H1499">
        <v>0</v>
      </c>
      <c r="I1499">
        <v>1158.287218</v>
      </c>
      <c r="J1499" t="s">
        <v>1921</v>
      </c>
      <c r="K1499">
        <v>-0</v>
      </c>
      <c r="L1499">
        <v>1.560628880147758</v>
      </c>
      <c r="M1499">
        <v>37.25</v>
      </c>
      <c r="N1499">
        <v>15.85</v>
      </c>
    </row>
    <row r="1500" spans="1:14">
      <c r="A1500" s="1" t="s">
        <v>1512</v>
      </c>
      <c r="B1500">
        <f>HYPERLINK("https://www.suredividend.com/sure-analysis-research-database/","Stronghold Digital Mining Inc")</f>
        <v>0</v>
      </c>
      <c r="C1500" t="s">
        <v>1921</v>
      </c>
      <c r="D1500">
        <v>0.474</v>
      </c>
      <c r="E1500">
        <v>0</v>
      </c>
      <c r="F1500" t="s">
        <v>1921</v>
      </c>
      <c r="G1500" t="s">
        <v>1921</v>
      </c>
      <c r="H1500">
        <v>0</v>
      </c>
      <c r="I1500">
        <v>15.030643</v>
      </c>
      <c r="J1500">
        <v>0</v>
      </c>
      <c r="K1500" t="s">
        <v>1921</v>
      </c>
      <c r="L1500">
        <v>2.842251227738119</v>
      </c>
      <c r="M1500">
        <v>14.43</v>
      </c>
      <c r="N1500">
        <v>0.4</v>
      </c>
    </row>
    <row r="1501" spans="1:14">
      <c r="A1501" s="1" t="s">
        <v>1513</v>
      </c>
      <c r="B1501">
        <f>HYPERLINK("https://www.suredividend.com/sure-analysis-research-database/","SeaWorld Entertainment Inc")</f>
        <v>0</v>
      </c>
      <c r="C1501" t="s">
        <v>1927</v>
      </c>
      <c r="D1501">
        <v>57.96</v>
      </c>
      <c r="E1501">
        <v>0</v>
      </c>
      <c r="F1501" t="s">
        <v>1921</v>
      </c>
      <c r="G1501" t="s">
        <v>1921</v>
      </c>
      <c r="H1501">
        <v>0</v>
      </c>
      <c r="I1501">
        <v>3702.862583</v>
      </c>
      <c r="J1501">
        <v>11.80315628456129</v>
      </c>
      <c r="K1501">
        <v>0</v>
      </c>
      <c r="L1501">
        <v>1.317591633068949</v>
      </c>
      <c r="M1501">
        <v>76.56999999999999</v>
      </c>
      <c r="N1501">
        <v>40.01</v>
      </c>
    </row>
    <row r="1502" spans="1:14">
      <c r="A1502" s="1" t="s">
        <v>1514</v>
      </c>
      <c r="B1502">
        <f>HYPERLINK("https://www.suredividend.com/sure-analysis-research-database/","Seelos Therapeutics Inc")</f>
        <v>0</v>
      </c>
      <c r="C1502" t="s">
        <v>1922</v>
      </c>
      <c r="D1502">
        <v>0.8</v>
      </c>
      <c r="E1502">
        <v>0</v>
      </c>
      <c r="F1502" t="s">
        <v>1921</v>
      </c>
      <c r="G1502" t="s">
        <v>1921</v>
      </c>
      <c r="H1502">
        <v>0</v>
      </c>
      <c r="I1502">
        <v>85.734605</v>
      </c>
      <c r="J1502">
        <v>0</v>
      </c>
      <c r="K1502" t="s">
        <v>1921</v>
      </c>
      <c r="L1502">
        <v>1.532845151847615</v>
      </c>
      <c r="M1502">
        <v>1.58</v>
      </c>
      <c r="N1502">
        <v>0.4803</v>
      </c>
    </row>
    <row r="1503" spans="1:14">
      <c r="A1503" s="1" t="s">
        <v>1515</v>
      </c>
      <c r="B1503">
        <f>HYPERLINK("https://www.suredividend.com/sure-analysis-research-database/","Seer Inc")</f>
        <v>0</v>
      </c>
      <c r="C1503" t="s">
        <v>1921</v>
      </c>
      <c r="D1503">
        <v>5.04</v>
      </c>
      <c r="E1503">
        <v>0</v>
      </c>
      <c r="F1503" t="s">
        <v>1921</v>
      </c>
      <c r="G1503" t="s">
        <v>1921</v>
      </c>
      <c r="H1503">
        <v>0</v>
      </c>
      <c r="I1503">
        <v>295.326854</v>
      </c>
      <c r="J1503">
        <v>0</v>
      </c>
      <c r="K1503" t="s">
        <v>1921</v>
      </c>
      <c r="L1503">
        <v>2.46828283693146</v>
      </c>
      <c r="M1503">
        <v>21.49</v>
      </c>
      <c r="N1503">
        <v>3.92</v>
      </c>
    </row>
    <row r="1504" spans="1:14">
      <c r="A1504" s="1" t="s">
        <v>1516</v>
      </c>
      <c r="B1504">
        <f>HYPERLINK("https://www.suredividend.com/sure-analysis-research-database/","Selecta Biosciences Inc")</f>
        <v>0</v>
      </c>
      <c r="C1504" t="s">
        <v>1922</v>
      </c>
      <c r="D1504">
        <v>1.33</v>
      </c>
      <c r="E1504">
        <v>0</v>
      </c>
      <c r="F1504" t="s">
        <v>1921</v>
      </c>
      <c r="G1504" t="s">
        <v>1921</v>
      </c>
      <c r="H1504">
        <v>0</v>
      </c>
      <c r="I1504">
        <v>203.531359</v>
      </c>
      <c r="J1504">
        <v>0</v>
      </c>
      <c r="K1504" t="s">
        <v>1921</v>
      </c>
      <c r="L1504">
        <v>1.348328356970507</v>
      </c>
      <c r="M1504">
        <v>2.92</v>
      </c>
      <c r="N1504">
        <v>0.6469</v>
      </c>
    </row>
    <row r="1505" spans="1:14">
      <c r="A1505" s="1" t="s">
        <v>1517</v>
      </c>
      <c r="B1505">
        <f>HYPERLINK("https://www.suredividend.com/sure-analysis-research-database/","Select Medical Holdings Corporation")</f>
        <v>0</v>
      </c>
      <c r="C1505" t="s">
        <v>1922</v>
      </c>
      <c r="D1505">
        <v>26.48</v>
      </c>
      <c r="E1505">
        <v>0.018744332329104</v>
      </c>
      <c r="F1505" t="s">
        <v>1921</v>
      </c>
      <c r="G1505" t="s">
        <v>1921</v>
      </c>
      <c r="H1505">
        <v>0.496349920074696</v>
      </c>
      <c r="I1505">
        <v>3362.526125</v>
      </c>
      <c r="J1505">
        <v>19.19633559900665</v>
      </c>
      <c r="K1505">
        <v>0.3570862734350331</v>
      </c>
      <c r="L1505">
        <v>1.097346285872118</v>
      </c>
      <c r="M1505">
        <v>30.02</v>
      </c>
      <c r="N1505">
        <v>18.76</v>
      </c>
    </row>
    <row r="1506" spans="1:14">
      <c r="A1506" s="1" t="s">
        <v>1518</v>
      </c>
      <c r="B1506">
        <f>HYPERLINK("https://www.suredividend.com/sure-analysis-research-database/","Seneca Foods Corp.")</f>
        <v>0</v>
      </c>
      <c r="C1506" t="s">
        <v>1928</v>
      </c>
      <c r="D1506">
        <v>61.03</v>
      </c>
      <c r="E1506">
        <v>0</v>
      </c>
      <c r="F1506" t="s">
        <v>1921</v>
      </c>
      <c r="G1506" t="s">
        <v>1921</v>
      </c>
      <c r="H1506">
        <v>0</v>
      </c>
      <c r="I1506">
        <v>469.111636</v>
      </c>
      <c r="J1506">
        <v>10.14383160381438</v>
      </c>
      <c r="K1506">
        <v>0</v>
      </c>
      <c r="L1506">
        <v>0.600653281293779</v>
      </c>
      <c r="M1506">
        <v>68.73999999999999</v>
      </c>
      <c r="N1506">
        <v>44.19</v>
      </c>
    </row>
    <row r="1507" spans="1:14">
      <c r="A1507" s="1" t="s">
        <v>1519</v>
      </c>
      <c r="B1507">
        <f>HYPERLINK("https://www.suredividend.com/sure-analysis-research-database/","Senseonics Holdings Inc")</f>
        <v>0</v>
      </c>
      <c r="C1507" t="s">
        <v>1922</v>
      </c>
      <c r="D1507">
        <v>1.06</v>
      </c>
      <c r="E1507">
        <v>0</v>
      </c>
      <c r="F1507" t="s">
        <v>1921</v>
      </c>
      <c r="G1507" t="s">
        <v>1921</v>
      </c>
      <c r="H1507">
        <v>0</v>
      </c>
      <c r="I1507">
        <v>506.951729</v>
      </c>
      <c r="J1507">
        <v>0</v>
      </c>
      <c r="K1507" t="s">
        <v>1921</v>
      </c>
      <c r="L1507">
        <v>2.127917008105719</v>
      </c>
      <c r="M1507">
        <v>3.89</v>
      </c>
      <c r="N1507">
        <v>0.7701</v>
      </c>
    </row>
    <row r="1508" spans="1:14">
      <c r="A1508" s="1" t="s">
        <v>1520</v>
      </c>
      <c r="B1508">
        <f>HYPERLINK("https://www.suredividend.com/sure-analysis-research-database/","Sera Prognostics Inc")</f>
        <v>0</v>
      </c>
      <c r="C1508" t="s">
        <v>1921</v>
      </c>
      <c r="D1508">
        <v>1.5202</v>
      </c>
      <c r="E1508">
        <v>0</v>
      </c>
      <c r="F1508" t="s">
        <v>1921</v>
      </c>
      <c r="G1508" t="s">
        <v>1921</v>
      </c>
      <c r="H1508">
        <v>0</v>
      </c>
      <c r="I1508">
        <v>45.015737</v>
      </c>
      <c r="J1508">
        <v>0</v>
      </c>
      <c r="K1508" t="s">
        <v>1921</v>
      </c>
      <c r="M1508">
        <v>9.48</v>
      </c>
      <c r="N1508">
        <v>1.1</v>
      </c>
    </row>
    <row r="1509" spans="1:14">
      <c r="A1509" s="1" t="s">
        <v>1521</v>
      </c>
      <c r="B1509">
        <f>HYPERLINK("https://www.suredividend.com/sure-analysis-research-database/","Sesen Bio Inc.")</f>
        <v>0</v>
      </c>
      <c r="C1509" t="s">
        <v>1922</v>
      </c>
      <c r="D1509">
        <v>0.6221</v>
      </c>
      <c r="E1509">
        <v>0</v>
      </c>
      <c r="F1509" t="s">
        <v>1921</v>
      </c>
      <c r="G1509" t="s">
        <v>1921</v>
      </c>
      <c r="H1509">
        <v>0</v>
      </c>
      <c r="I1509">
        <v>126.135137</v>
      </c>
      <c r="J1509">
        <v>0</v>
      </c>
      <c r="K1509" t="s">
        <v>1921</v>
      </c>
      <c r="L1509">
        <v>1.052940623567884</v>
      </c>
      <c r="M1509">
        <v>0.965</v>
      </c>
      <c r="N1509">
        <v>0.365</v>
      </c>
    </row>
    <row r="1510" spans="1:14">
      <c r="A1510" s="1" t="s">
        <v>1522</v>
      </c>
      <c r="B1510">
        <f>HYPERLINK("https://www.suredividend.com/sure-analysis-research-database/","ServisFirst Bancshares Inc")</f>
        <v>0</v>
      </c>
      <c r="C1510" t="s">
        <v>1923</v>
      </c>
      <c r="D1510">
        <v>68.31</v>
      </c>
      <c r="E1510">
        <v>0.014130311200995</v>
      </c>
      <c r="F1510">
        <v>0.2173913043478262</v>
      </c>
      <c r="G1510">
        <v>0.2054607361015721</v>
      </c>
      <c r="H1510">
        <v>0.9652415581400011</v>
      </c>
      <c r="I1510">
        <v>3710.898056</v>
      </c>
      <c r="J1510">
        <v>15.62674202850032</v>
      </c>
      <c r="K1510">
        <v>0.2213856784724773</v>
      </c>
      <c r="L1510">
        <v>0.6321758528907471</v>
      </c>
      <c r="M1510">
        <v>96.3</v>
      </c>
      <c r="N1510">
        <v>63.28</v>
      </c>
    </row>
    <row r="1511" spans="1:14">
      <c r="A1511" s="1" t="s">
        <v>1523</v>
      </c>
      <c r="B1511">
        <f>HYPERLINK("https://www.suredividend.com/sure-analysis-research-database/","Stitch Fix Inc")</f>
        <v>0</v>
      </c>
      <c r="C1511" t="s">
        <v>1927</v>
      </c>
      <c r="D1511">
        <v>3.75</v>
      </c>
      <c r="E1511">
        <v>0</v>
      </c>
      <c r="F1511" t="s">
        <v>1921</v>
      </c>
      <c r="G1511" t="s">
        <v>1921</v>
      </c>
      <c r="H1511">
        <v>0</v>
      </c>
      <c r="I1511">
        <v>320.261385</v>
      </c>
      <c r="J1511" t="s">
        <v>1921</v>
      </c>
      <c r="K1511">
        <v>-0</v>
      </c>
      <c r="L1511">
        <v>2.368834037957722</v>
      </c>
      <c r="M1511">
        <v>19.76</v>
      </c>
      <c r="N1511">
        <v>2.63</v>
      </c>
    </row>
    <row r="1512" spans="1:14">
      <c r="A1512" s="1" t="s">
        <v>1524</v>
      </c>
      <c r="B1512">
        <f>HYPERLINK("https://www.suredividend.com/sure-analysis-SFL/","SFL Corporation Ltd")</f>
        <v>0</v>
      </c>
      <c r="C1512" t="s">
        <v>1924</v>
      </c>
      <c r="D1512">
        <v>9.140000000000001</v>
      </c>
      <c r="E1512">
        <v>0.1006564551422319</v>
      </c>
      <c r="F1512">
        <v>0.2777777777777779</v>
      </c>
      <c r="G1512">
        <v>-0.08054186772004779</v>
      </c>
      <c r="H1512">
        <v>0.8515682105116721</v>
      </c>
      <c r="I1512">
        <v>1266.359677</v>
      </c>
      <c r="J1512">
        <v>5.815311495433109</v>
      </c>
      <c r="K1512">
        <v>0.5639524572924981</v>
      </c>
      <c r="L1512">
        <v>0.4945409930314321</v>
      </c>
      <c r="M1512">
        <v>11</v>
      </c>
      <c r="N1512">
        <v>7</v>
      </c>
    </row>
    <row r="1513" spans="1:14">
      <c r="A1513" s="1" t="s">
        <v>1525</v>
      </c>
      <c r="B1513">
        <f>HYPERLINK("https://www.suredividend.com/sure-analysis-research-database/","Sprouts Farmers Market Inc")</f>
        <v>0</v>
      </c>
      <c r="C1513" t="s">
        <v>1928</v>
      </c>
      <c r="D1513">
        <v>31.37</v>
      </c>
      <c r="E1513">
        <v>0</v>
      </c>
      <c r="F1513" t="s">
        <v>1921</v>
      </c>
      <c r="G1513" t="s">
        <v>1921</v>
      </c>
      <c r="H1513">
        <v>0</v>
      </c>
      <c r="I1513">
        <v>3320.591984</v>
      </c>
      <c r="J1513">
        <v>13.1627449098592</v>
      </c>
      <c r="K1513">
        <v>0</v>
      </c>
      <c r="L1513">
        <v>0.641826770679231</v>
      </c>
      <c r="M1513">
        <v>35.34</v>
      </c>
      <c r="N1513">
        <v>22.56</v>
      </c>
    </row>
    <row r="1514" spans="1:14">
      <c r="A1514" s="1" t="s">
        <v>1526</v>
      </c>
      <c r="B1514">
        <f>HYPERLINK("https://www.suredividend.com/sure-analysis-research-database/","Simmons First National Corp.")</f>
        <v>0</v>
      </c>
      <c r="C1514" t="s">
        <v>1923</v>
      </c>
      <c r="D1514">
        <v>21.99</v>
      </c>
      <c r="E1514">
        <v>0.034110464787719</v>
      </c>
      <c r="F1514">
        <v>0.05555555555555558</v>
      </c>
      <c r="G1514">
        <v>0.04841317128472156</v>
      </c>
      <c r="H1514">
        <v>0.7500891206819511</v>
      </c>
      <c r="I1514">
        <v>2792.06256</v>
      </c>
      <c r="J1514">
        <v>12.61196736645256</v>
      </c>
      <c r="K1514">
        <v>0.4098847653999733</v>
      </c>
      <c r="L1514">
        <v>0.7160936796524511</v>
      </c>
      <c r="M1514">
        <v>30.92</v>
      </c>
      <c r="N1514">
        <v>19.34</v>
      </c>
    </row>
    <row r="1515" spans="1:14">
      <c r="A1515" s="1" t="s">
        <v>1527</v>
      </c>
      <c r="B1515">
        <f>HYPERLINK("https://www.suredividend.com/sure-analysis-research-database/","Southern First Bancshares Inc")</f>
        <v>0</v>
      </c>
      <c r="C1515" t="s">
        <v>1923</v>
      </c>
      <c r="D1515">
        <v>44.21</v>
      </c>
      <c r="E1515">
        <v>0</v>
      </c>
      <c r="F1515" t="s">
        <v>1921</v>
      </c>
      <c r="G1515" t="s">
        <v>1921</v>
      </c>
      <c r="H1515">
        <v>0</v>
      </c>
      <c r="I1515">
        <v>353.562578</v>
      </c>
      <c r="J1515">
        <v>0</v>
      </c>
      <c r="K1515" t="s">
        <v>1921</v>
      </c>
      <c r="L1515">
        <v>0.6250519564746591</v>
      </c>
      <c r="M1515">
        <v>63.42</v>
      </c>
      <c r="N1515">
        <v>41.05</v>
      </c>
    </row>
    <row r="1516" spans="1:14">
      <c r="A1516" s="1" t="s">
        <v>1528</v>
      </c>
      <c r="B1516">
        <f>HYPERLINK("https://www.suredividend.com/sure-analysis-research-database/","Shift Technologies Inc")</f>
        <v>0</v>
      </c>
      <c r="C1516" t="s">
        <v>1921</v>
      </c>
      <c r="D1516">
        <v>0.22</v>
      </c>
      <c r="E1516">
        <v>0</v>
      </c>
      <c r="F1516" t="s">
        <v>1921</v>
      </c>
      <c r="G1516" t="s">
        <v>1921</v>
      </c>
      <c r="H1516">
        <v>0</v>
      </c>
      <c r="I1516">
        <v>18.827056</v>
      </c>
      <c r="J1516">
        <v>0</v>
      </c>
      <c r="K1516" t="s">
        <v>1921</v>
      </c>
      <c r="L1516">
        <v>1.833983575316111</v>
      </c>
      <c r="M1516">
        <v>3.14</v>
      </c>
      <c r="N1516">
        <v>0.13</v>
      </c>
    </row>
    <row r="1517" spans="1:14">
      <c r="A1517" s="1" t="s">
        <v>1529</v>
      </c>
      <c r="B1517">
        <f>HYPERLINK("https://www.suredividend.com/sure-analysis-research-database/","Sweetgreen Inc")</f>
        <v>0</v>
      </c>
      <c r="C1517" t="s">
        <v>1923</v>
      </c>
      <c r="D1517">
        <v>8.43</v>
      </c>
      <c r="E1517">
        <v>0</v>
      </c>
      <c r="F1517" t="s">
        <v>1921</v>
      </c>
      <c r="G1517" t="s">
        <v>1921</v>
      </c>
      <c r="H1517">
        <v>0</v>
      </c>
      <c r="I1517">
        <v>820.432258</v>
      </c>
      <c r="J1517" t="s">
        <v>1921</v>
      </c>
      <c r="K1517">
        <v>-0</v>
      </c>
      <c r="L1517">
        <v>1.696719083880662</v>
      </c>
      <c r="M1517">
        <v>40.1</v>
      </c>
      <c r="N1517">
        <v>7.81</v>
      </c>
    </row>
    <row r="1518" spans="1:14">
      <c r="A1518" s="1" t="s">
        <v>1530</v>
      </c>
      <c r="B1518">
        <f>HYPERLINK("https://www.suredividend.com/sure-analysis-research-database/","Superior Group of Companies Inc..")</f>
        <v>0</v>
      </c>
      <c r="C1518" t="s">
        <v>1927</v>
      </c>
      <c r="D1518">
        <v>10.61</v>
      </c>
      <c r="E1518">
        <v>0.050052584399584</v>
      </c>
      <c r="F1518">
        <v>0.1666666666666667</v>
      </c>
      <c r="G1518">
        <v>0.08063961960040023</v>
      </c>
      <c r="H1518">
        <v>0.531057920479593</v>
      </c>
      <c r="I1518">
        <v>173.324323</v>
      </c>
      <c r="J1518">
        <v>0</v>
      </c>
      <c r="K1518" t="s">
        <v>1921</v>
      </c>
      <c r="L1518">
        <v>0.9000986927893211</v>
      </c>
      <c r="M1518">
        <v>21.32</v>
      </c>
      <c r="N1518">
        <v>8.4</v>
      </c>
    </row>
    <row r="1519" spans="1:14">
      <c r="A1519" s="1" t="s">
        <v>1531</v>
      </c>
      <c r="B1519">
        <f>HYPERLINK("https://www.suredividend.com/sure-analysis-research-database/","SMART Global Holdings Inc")</f>
        <v>0</v>
      </c>
      <c r="C1519" t="s">
        <v>1920</v>
      </c>
      <c r="D1519">
        <v>15.98</v>
      </c>
      <c r="E1519">
        <v>0</v>
      </c>
      <c r="F1519" t="s">
        <v>1921</v>
      </c>
      <c r="G1519" t="s">
        <v>1921</v>
      </c>
      <c r="H1519">
        <v>0</v>
      </c>
      <c r="I1519">
        <v>786.2865839999999</v>
      </c>
      <c r="J1519">
        <v>15.26118131400178</v>
      </c>
      <c r="K1519">
        <v>0</v>
      </c>
      <c r="L1519">
        <v>1.504382394391048</v>
      </c>
      <c r="M1519">
        <v>33.44</v>
      </c>
      <c r="N1519">
        <v>12.04</v>
      </c>
    </row>
    <row r="1520" spans="1:14">
      <c r="A1520" s="1" t="s">
        <v>1532</v>
      </c>
      <c r="B1520">
        <f>HYPERLINK("https://www.suredividend.com/sure-analysis-research-database/","Sight Sciences Inc")</f>
        <v>0</v>
      </c>
      <c r="C1520" t="s">
        <v>1921</v>
      </c>
      <c r="D1520">
        <v>13.33</v>
      </c>
      <c r="E1520">
        <v>0</v>
      </c>
      <c r="F1520" t="s">
        <v>1921</v>
      </c>
      <c r="G1520" t="s">
        <v>1921</v>
      </c>
      <c r="H1520">
        <v>0</v>
      </c>
      <c r="I1520">
        <v>641.856856</v>
      </c>
      <c r="J1520">
        <v>0</v>
      </c>
      <c r="K1520" t="s">
        <v>1921</v>
      </c>
      <c r="L1520">
        <v>1.938708714254159</v>
      </c>
      <c r="M1520">
        <v>18.25</v>
      </c>
      <c r="N1520">
        <v>5.35</v>
      </c>
    </row>
    <row r="1521" spans="1:14">
      <c r="A1521" s="1" t="s">
        <v>1533</v>
      </c>
      <c r="B1521">
        <f>HYPERLINK("https://www.suredividend.com/sure-analysis-research-database/","Sangamo Therapeutics Inc")</f>
        <v>0</v>
      </c>
      <c r="C1521" t="s">
        <v>1922</v>
      </c>
      <c r="D1521">
        <v>3.15</v>
      </c>
      <c r="E1521">
        <v>0</v>
      </c>
      <c r="F1521" t="s">
        <v>1921</v>
      </c>
      <c r="G1521" t="s">
        <v>1921</v>
      </c>
      <c r="H1521">
        <v>0</v>
      </c>
      <c r="I1521">
        <v>516.222022</v>
      </c>
      <c r="J1521" t="s">
        <v>1921</v>
      </c>
      <c r="K1521">
        <v>-0</v>
      </c>
      <c r="L1521">
        <v>1.657632990536129</v>
      </c>
      <c r="M1521">
        <v>6.82</v>
      </c>
      <c r="N1521">
        <v>2.72</v>
      </c>
    </row>
    <row r="1522" spans="1:14">
      <c r="A1522" s="1" t="s">
        <v>1534</v>
      </c>
      <c r="B1522">
        <f>HYPERLINK("https://www.suredividend.com/sure-analysis-research-database/","Surgery Partners Inc")</f>
        <v>0</v>
      </c>
      <c r="C1522" t="s">
        <v>1922</v>
      </c>
      <c r="D1522">
        <v>28.59</v>
      </c>
      <c r="E1522">
        <v>0</v>
      </c>
      <c r="F1522" t="s">
        <v>1921</v>
      </c>
      <c r="G1522" t="s">
        <v>1921</v>
      </c>
      <c r="H1522">
        <v>0</v>
      </c>
      <c r="I1522">
        <v>2571.688626</v>
      </c>
      <c r="J1522">
        <v>0</v>
      </c>
      <c r="K1522" t="s">
        <v>1921</v>
      </c>
      <c r="L1522">
        <v>1.958335741421767</v>
      </c>
      <c r="M1522">
        <v>63.87</v>
      </c>
      <c r="N1522">
        <v>20.46</v>
      </c>
    </row>
    <row r="1523" spans="1:14">
      <c r="A1523" s="1" t="s">
        <v>1535</v>
      </c>
      <c r="B1523">
        <f>HYPERLINK("https://www.suredividend.com/sure-analysis-research-database/","Sigilon Therapeutics Inc")</f>
        <v>0</v>
      </c>
      <c r="C1523" t="s">
        <v>1921</v>
      </c>
      <c r="D1523">
        <v>0.36</v>
      </c>
      <c r="E1523">
        <v>0</v>
      </c>
      <c r="F1523" t="s">
        <v>1921</v>
      </c>
      <c r="G1523" t="s">
        <v>1921</v>
      </c>
      <c r="H1523">
        <v>0</v>
      </c>
      <c r="I1523">
        <v>11.684425</v>
      </c>
      <c r="J1523">
        <v>0</v>
      </c>
      <c r="K1523" t="s">
        <v>1921</v>
      </c>
      <c r="L1523">
        <v>1.009894016952864</v>
      </c>
      <c r="M1523">
        <v>2.5</v>
      </c>
      <c r="N1523">
        <v>0.29</v>
      </c>
    </row>
    <row r="1524" spans="1:14">
      <c r="A1524" s="1" t="s">
        <v>1536</v>
      </c>
      <c r="B1524">
        <f>HYPERLINK("https://www.suredividend.com/sure-analysis-research-database/","Shake Shack Inc")</f>
        <v>0</v>
      </c>
      <c r="C1524" t="s">
        <v>1927</v>
      </c>
      <c r="D1524">
        <v>48.08</v>
      </c>
      <c r="E1524">
        <v>0</v>
      </c>
      <c r="F1524" t="s">
        <v>1921</v>
      </c>
      <c r="G1524" t="s">
        <v>1921</v>
      </c>
      <c r="H1524">
        <v>0</v>
      </c>
      <c r="I1524">
        <v>1888.579467</v>
      </c>
      <c r="J1524" t="s">
        <v>1921</v>
      </c>
      <c r="K1524">
        <v>-0</v>
      </c>
      <c r="L1524">
        <v>1.567395831407959</v>
      </c>
      <c r="M1524">
        <v>79.62</v>
      </c>
      <c r="N1524">
        <v>37.72</v>
      </c>
    </row>
    <row r="1525" spans="1:14">
      <c r="A1525" s="1" t="s">
        <v>1537</v>
      </c>
      <c r="B1525">
        <f>HYPERLINK("https://www.suredividend.com/sure-analysis-research-database/","Shenandoah Telecommunications Co.")</f>
        <v>0</v>
      </c>
      <c r="C1525" t="s">
        <v>1931</v>
      </c>
      <c r="D1525">
        <v>16.74</v>
      </c>
      <c r="E1525">
        <v>0.004778972414089</v>
      </c>
      <c r="F1525" t="s">
        <v>1921</v>
      </c>
      <c r="G1525" t="s">
        <v>1921</v>
      </c>
      <c r="H1525">
        <v>0.07999999821186</v>
      </c>
      <c r="I1525">
        <v>838.645609</v>
      </c>
      <c r="J1525" t="s">
        <v>1921</v>
      </c>
      <c r="K1525" t="s">
        <v>1921</v>
      </c>
      <c r="L1525">
        <v>0.874718415160849</v>
      </c>
      <c r="M1525">
        <v>25.82</v>
      </c>
      <c r="N1525">
        <v>15.56</v>
      </c>
    </row>
    <row r="1526" spans="1:14">
      <c r="A1526" s="1" t="s">
        <v>1538</v>
      </c>
      <c r="B1526">
        <f>HYPERLINK("https://www.suredividend.com/sure-analysis-research-database/","Sunstone Hotel Investors Inc")</f>
        <v>0</v>
      </c>
      <c r="C1526" t="s">
        <v>1929</v>
      </c>
      <c r="D1526">
        <v>9.43</v>
      </c>
      <c r="E1526">
        <v>0.010576624350346</v>
      </c>
      <c r="F1526" t="s">
        <v>1921</v>
      </c>
      <c r="G1526" t="s">
        <v>1921</v>
      </c>
      <c r="H1526">
        <v>0.09973756762377101</v>
      </c>
      <c r="I1526">
        <v>1984.067474</v>
      </c>
      <c r="J1526">
        <v>10.27801219229175</v>
      </c>
      <c r="K1526">
        <v>0.1110416027875429</v>
      </c>
      <c r="L1526">
        <v>1.12835708179279</v>
      </c>
      <c r="M1526">
        <v>12.59</v>
      </c>
      <c r="N1526">
        <v>9.15</v>
      </c>
    </row>
    <row r="1527" spans="1:14">
      <c r="A1527" s="1" t="s">
        <v>1539</v>
      </c>
      <c r="B1527">
        <f>HYPERLINK("https://www.suredividend.com/sure-analysis-research-database/","Steven Madden Ltd.")</f>
        <v>0</v>
      </c>
      <c r="C1527" t="s">
        <v>1927</v>
      </c>
      <c r="D1527">
        <v>31.84</v>
      </c>
      <c r="E1527">
        <v>0.026126501290978</v>
      </c>
      <c r="F1527" t="s">
        <v>1921</v>
      </c>
      <c r="G1527" t="s">
        <v>1921</v>
      </c>
      <c r="H1527">
        <v>0.8318678011047571</v>
      </c>
      <c r="I1527">
        <v>2479.810035</v>
      </c>
      <c r="J1527">
        <v>9.909093228693816</v>
      </c>
      <c r="K1527">
        <v>0.263249304147075</v>
      </c>
      <c r="L1527">
        <v>1.153805607756082</v>
      </c>
      <c r="M1527">
        <v>44.19</v>
      </c>
      <c r="N1527">
        <v>26.19</v>
      </c>
    </row>
    <row r="1528" spans="1:14">
      <c r="A1528" s="1" t="s">
        <v>1540</v>
      </c>
      <c r="B1528">
        <f>HYPERLINK("https://www.suredividend.com/sure-analysis-research-database/","Shyft Group Inc (The)")</f>
        <v>0</v>
      </c>
      <c r="C1528" t="s">
        <v>1921</v>
      </c>
      <c r="D1528">
        <v>28.34</v>
      </c>
      <c r="E1528">
        <v>0.007036672977435001</v>
      </c>
      <c r="F1528" t="s">
        <v>1921</v>
      </c>
      <c r="G1528" t="s">
        <v>1921</v>
      </c>
      <c r="H1528">
        <v>0.19941931218053</v>
      </c>
      <c r="I1528">
        <v>993.909901</v>
      </c>
      <c r="J1528">
        <v>25.36713971414716</v>
      </c>
      <c r="K1528">
        <v>0.1796570380004775</v>
      </c>
      <c r="L1528">
        <v>1.325171947267242</v>
      </c>
      <c r="M1528">
        <v>48.18</v>
      </c>
      <c r="N1528">
        <v>17.6</v>
      </c>
    </row>
    <row r="1529" spans="1:14">
      <c r="A1529" s="1" t="s">
        <v>1541</v>
      </c>
      <c r="B1529">
        <f>HYPERLINK("https://www.suredividend.com/sure-analysis-research-database/","Silvergate Capital Corp")</f>
        <v>0</v>
      </c>
      <c r="C1529" t="s">
        <v>1923</v>
      </c>
      <c r="D1529">
        <v>11.55</v>
      </c>
      <c r="E1529">
        <v>0</v>
      </c>
      <c r="F1529" t="s">
        <v>1921</v>
      </c>
      <c r="G1529" t="s">
        <v>1921</v>
      </c>
      <c r="H1529">
        <v>0</v>
      </c>
      <c r="I1529">
        <v>365.656865</v>
      </c>
      <c r="J1529">
        <v>3.056564947337624</v>
      </c>
      <c r="K1529">
        <v>0</v>
      </c>
      <c r="L1529">
        <v>2.568793842748421</v>
      </c>
      <c r="M1529">
        <v>162.65</v>
      </c>
      <c r="N1529">
        <v>10.81</v>
      </c>
    </row>
    <row r="1530" spans="1:14">
      <c r="A1530" s="1" t="s">
        <v>1542</v>
      </c>
      <c r="B1530">
        <f>HYPERLINK("https://www.suredividend.com/sure-analysis-research-database/","SI-BONE Inc")</f>
        <v>0</v>
      </c>
      <c r="C1530" t="s">
        <v>1922</v>
      </c>
      <c r="D1530">
        <v>14.5</v>
      </c>
      <c r="E1530">
        <v>0</v>
      </c>
      <c r="F1530" t="s">
        <v>1921</v>
      </c>
      <c r="G1530" t="s">
        <v>1921</v>
      </c>
      <c r="H1530">
        <v>0</v>
      </c>
      <c r="I1530">
        <v>500.197003</v>
      </c>
      <c r="J1530">
        <v>0</v>
      </c>
      <c r="K1530" t="s">
        <v>1921</v>
      </c>
      <c r="L1530">
        <v>1.370232705568506</v>
      </c>
      <c r="M1530">
        <v>23.71</v>
      </c>
      <c r="N1530">
        <v>11.14</v>
      </c>
    </row>
    <row r="1531" spans="1:14">
      <c r="A1531" s="1" t="s">
        <v>1543</v>
      </c>
      <c r="B1531">
        <f>HYPERLINK("https://www.suredividend.com/sure-analysis-research-database/","Sientra Inc")</f>
        <v>0</v>
      </c>
      <c r="C1531" t="s">
        <v>1922</v>
      </c>
      <c r="D1531">
        <v>0.2359</v>
      </c>
      <c r="E1531">
        <v>0</v>
      </c>
      <c r="F1531" t="s">
        <v>1921</v>
      </c>
      <c r="G1531" t="s">
        <v>1921</v>
      </c>
      <c r="H1531">
        <v>0</v>
      </c>
      <c r="I1531">
        <v>23.824935</v>
      </c>
      <c r="J1531">
        <v>0</v>
      </c>
      <c r="K1531" t="s">
        <v>1921</v>
      </c>
      <c r="L1531">
        <v>1.064223958171753</v>
      </c>
      <c r="M1531">
        <v>3.45</v>
      </c>
      <c r="N1531">
        <v>0.1611</v>
      </c>
    </row>
    <row r="1532" spans="1:14">
      <c r="A1532" s="1" t="s">
        <v>1544</v>
      </c>
      <c r="B1532">
        <f>HYPERLINK("https://www.suredividend.com/sure-analysis-research-database/","Signet Jewelers Ltd")</f>
        <v>0</v>
      </c>
      <c r="C1532" t="s">
        <v>1927</v>
      </c>
      <c r="D1532">
        <v>72.36</v>
      </c>
      <c r="E1532">
        <v>0.010729881389376</v>
      </c>
      <c r="F1532" t="s">
        <v>1921</v>
      </c>
      <c r="G1532" t="s">
        <v>1921</v>
      </c>
      <c r="H1532">
        <v>0.776414217335292</v>
      </c>
      <c r="I1532">
        <v>3287.832608</v>
      </c>
      <c r="J1532">
        <v>8.670444641772152</v>
      </c>
      <c r="K1532">
        <v>0.1110749953269373</v>
      </c>
      <c r="L1532">
        <v>1.509067739421869</v>
      </c>
      <c r="M1532">
        <v>93.25</v>
      </c>
      <c r="N1532">
        <v>47.99</v>
      </c>
    </row>
    <row r="1533" spans="1:14">
      <c r="A1533" s="1" t="s">
        <v>1545</v>
      </c>
      <c r="B1533">
        <f>HYPERLINK("https://www.suredividend.com/sure-analysis-research-database/","SIGA Technologies Inc")</f>
        <v>0</v>
      </c>
      <c r="C1533" t="s">
        <v>1922</v>
      </c>
      <c r="D1533">
        <v>7.26</v>
      </c>
      <c r="E1533">
        <v>0</v>
      </c>
      <c r="F1533" t="s">
        <v>1921</v>
      </c>
      <c r="G1533" t="s">
        <v>1921</v>
      </c>
      <c r="H1533">
        <v>0</v>
      </c>
      <c r="I1533">
        <v>530.155307</v>
      </c>
      <c r="J1533">
        <v>4.912319083596428</v>
      </c>
      <c r="K1533">
        <v>0</v>
      </c>
      <c r="L1533">
        <v>0.9611321755752911</v>
      </c>
      <c r="M1533">
        <v>26.99</v>
      </c>
      <c r="N1533">
        <v>5.49</v>
      </c>
    </row>
    <row r="1534" spans="1:14">
      <c r="A1534" s="1" t="s">
        <v>1546</v>
      </c>
      <c r="B1534">
        <f>HYPERLINK("https://www.suredividend.com/sure-analysis-research-database/","Selective Insurance Group Inc.")</f>
        <v>0</v>
      </c>
      <c r="C1534" t="s">
        <v>1923</v>
      </c>
      <c r="D1534">
        <v>90.06</v>
      </c>
      <c r="E1534">
        <v>0.012594751654983</v>
      </c>
      <c r="F1534">
        <v>0.0714285714285714</v>
      </c>
      <c r="G1534">
        <v>0.1075663432482901</v>
      </c>
      <c r="H1534">
        <v>1.134283334047777</v>
      </c>
      <c r="I1534">
        <v>5428.38181</v>
      </c>
      <c r="J1534">
        <v>23.79262169499549</v>
      </c>
      <c r="K1534">
        <v>0.3024755557460738</v>
      </c>
      <c r="L1534">
        <v>0.504900838960067</v>
      </c>
      <c r="M1534">
        <v>98.48</v>
      </c>
      <c r="N1534">
        <v>66.36</v>
      </c>
    </row>
    <row r="1535" spans="1:14">
      <c r="A1535" s="1" t="s">
        <v>1547</v>
      </c>
      <c r="B1535">
        <f>HYPERLINK("https://www.suredividend.com/sure-analysis-research-database/","Silk Road Medical Inc")</f>
        <v>0</v>
      </c>
      <c r="C1535" t="s">
        <v>1922</v>
      </c>
      <c r="D1535">
        <v>49.95</v>
      </c>
      <c r="E1535">
        <v>0</v>
      </c>
      <c r="F1535" t="s">
        <v>1921</v>
      </c>
      <c r="G1535" t="s">
        <v>1921</v>
      </c>
      <c r="H1535">
        <v>0</v>
      </c>
      <c r="I1535">
        <v>1904.221323</v>
      </c>
      <c r="J1535">
        <v>0</v>
      </c>
      <c r="K1535" t="s">
        <v>1921</v>
      </c>
      <c r="L1535">
        <v>1.645247498516338</v>
      </c>
      <c r="M1535">
        <v>56.73</v>
      </c>
      <c r="N1535">
        <v>27.21</v>
      </c>
    </row>
    <row r="1536" spans="1:14">
      <c r="A1536" s="1" t="s">
        <v>1548</v>
      </c>
      <c r="B1536">
        <f>HYPERLINK("https://www.suredividend.com/sure-analysis-research-database/","SITE Centers Corp")</f>
        <v>0</v>
      </c>
      <c r="C1536" t="s">
        <v>1929</v>
      </c>
      <c r="D1536">
        <v>12.95</v>
      </c>
      <c r="E1536">
        <v>0.03957471328465501</v>
      </c>
      <c r="F1536" t="s">
        <v>1921</v>
      </c>
      <c r="G1536" t="s">
        <v>1921</v>
      </c>
      <c r="H1536">
        <v>0.5124925370362841</v>
      </c>
      <c r="I1536">
        <v>2752.034596</v>
      </c>
      <c r="J1536">
        <v>14.65126278136246</v>
      </c>
      <c r="K1536">
        <v>0.5835051087740909</v>
      </c>
      <c r="L1536">
        <v>0.97260449233095</v>
      </c>
      <c r="M1536">
        <v>16.73</v>
      </c>
      <c r="N1536">
        <v>10.32</v>
      </c>
    </row>
    <row r="1537" spans="1:14">
      <c r="A1537" s="1" t="s">
        <v>1549</v>
      </c>
      <c r="B1537">
        <f>HYPERLINK("https://www.suredividend.com/sure-analysis-research-database/","SiTime Corp")</f>
        <v>0</v>
      </c>
      <c r="C1537" t="s">
        <v>1920</v>
      </c>
      <c r="D1537">
        <v>108.06</v>
      </c>
      <c r="E1537">
        <v>0</v>
      </c>
      <c r="F1537" t="s">
        <v>1921</v>
      </c>
      <c r="G1537" t="s">
        <v>1921</v>
      </c>
      <c r="H1537">
        <v>0</v>
      </c>
      <c r="I1537">
        <v>2316.751397</v>
      </c>
      <c r="J1537">
        <v>51.89739023453775</v>
      </c>
      <c r="K1537">
        <v>0</v>
      </c>
      <c r="L1537">
        <v>2.612932689436389</v>
      </c>
      <c r="M1537">
        <v>270.92</v>
      </c>
      <c r="N1537">
        <v>73.09999999999999</v>
      </c>
    </row>
    <row r="1538" spans="1:14">
      <c r="A1538" s="1" t="s">
        <v>1550</v>
      </c>
      <c r="B1538">
        <f>HYPERLINK("https://www.suredividend.com/sure-analysis-SJI/","South Jersey Industries Inc.")</f>
        <v>0</v>
      </c>
      <c r="C1538" t="s">
        <v>1930</v>
      </c>
      <c r="D1538">
        <v>35.82</v>
      </c>
      <c r="E1538">
        <v>0.03461753210496929</v>
      </c>
      <c r="F1538">
        <v>0</v>
      </c>
      <c r="G1538">
        <v>0.02056514630321193</v>
      </c>
      <c r="H1538">
        <v>1.22363131750192</v>
      </c>
      <c r="I1538">
        <v>4384.634035</v>
      </c>
      <c r="J1538">
        <v>28.33421026023122</v>
      </c>
      <c r="K1538">
        <v>0.948551408916217</v>
      </c>
      <c r="L1538">
        <v>0.269204802151769</v>
      </c>
      <c r="M1538">
        <v>35.87</v>
      </c>
      <c r="N1538">
        <v>22.33</v>
      </c>
    </row>
    <row r="1539" spans="1:14">
      <c r="A1539" s="1" t="s">
        <v>1551</v>
      </c>
      <c r="B1539">
        <f>HYPERLINK("https://www.suredividend.com/sure-analysis-SJW/","SJW Group")</f>
        <v>0</v>
      </c>
      <c r="C1539" t="s">
        <v>1930</v>
      </c>
      <c r="D1539">
        <v>78.94</v>
      </c>
      <c r="E1539">
        <v>0.0182417025589055</v>
      </c>
      <c r="F1539">
        <v>0.0588235294117645</v>
      </c>
      <c r="G1539">
        <v>0.05154749679728043</v>
      </c>
      <c r="H1539">
        <v>1.42833724794961</v>
      </c>
      <c r="I1539">
        <v>2393.406884</v>
      </c>
      <c r="J1539">
        <v>41.01951881778296</v>
      </c>
      <c r="K1539">
        <v>0.7400711129272589</v>
      </c>
      <c r="L1539">
        <v>0.41391584815916</v>
      </c>
      <c r="M1539">
        <v>83.88</v>
      </c>
      <c r="N1539">
        <v>55.15</v>
      </c>
    </row>
    <row r="1540" spans="1:14">
      <c r="A1540" s="1" t="s">
        <v>1552</v>
      </c>
      <c r="B1540">
        <f>HYPERLINK("https://www.suredividend.com/sure-analysis-research-database/","Beauty Health Company (The)")</f>
        <v>0</v>
      </c>
      <c r="C1540" t="s">
        <v>1921</v>
      </c>
      <c r="D1540">
        <v>9.65</v>
      </c>
      <c r="E1540">
        <v>0</v>
      </c>
      <c r="F1540" t="s">
        <v>1921</v>
      </c>
      <c r="G1540" t="s">
        <v>1921</v>
      </c>
      <c r="H1540">
        <v>0</v>
      </c>
      <c r="I1540">
        <v>1381.890046</v>
      </c>
      <c r="J1540">
        <v>0</v>
      </c>
      <c r="K1540" t="s">
        <v>1921</v>
      </c>
      <c r="L1540">
        <v>2.023567644199429</v>
      </c>
      <c r="M1540">
        <v>20.49</v>
      </c>
      <c r="N1540">
        <v>8.25</v>
      </c>
    </row>
    <row r="1541" spans="1:14">
      <c r="A1541" s="1" t="s">
        <v>1553</v>
      </c>
      <c r="B1541">
        <f>HYPERLINK("https://www.suredividend.com/sure-analysis-SKT/","Tanger Factory Outlet Centers, Inc.")</f>
        <v>0</v>
      </c>
      <c r="C1541" t="s">
        <v>1929</v>
      </c>
      <c r="D1541">
        <v>17.8</v>
      </c>
      <c r="E1541">
        <v>0.04943820224719101</v>
      </c>
      <c r="F1541" t="s">
        <v>1921</v>
      </c>
      <c r="G1541" t="s">
        <v>1921</v>
      </c>
      <c r="H1541">
        <v>0.7882556078160511</v>
      </c>
      <c r="I1541">
        <v>1857.375318</v>
      </c>
      <c r="J1541">
        <v>24.66240862545145</v>
      </c>
      <c r="K1541">
        <v>1.103072499042893</v>
      </c>
      <c r="L1541">
        <v>1.039954734874215</v>
      </c>
      <c r="M1541">
        <v>19.91</v>
      </c>
      <c r="N1541">
        <v>13.09</v>
      </c>
    </row>
    <row r="1542" spans="1:14">
      <c r="A1542" s="1" t="s">
        <v>1554</v>
      </c>
      <c r="B1542">
        <f>HYPERLINK("https://www.suredividend.com/sure-analysis-research-database/","Skyline Champion Corp")</f>
        <v>0</v>
      </c>
      <c r="C1542" t="s">
        <v>1927</v>
      </c>
      <c r="D1542">
        <v>54.77</v>
      </c>
      <c r="E1542">
        <v>0</v>
      </c>
      <c r="F1542" t="s">
        <v>1921</v>
      </c>
      <c r="G1542" t="s">
        <v>1921</v>
      </c>
      <c r="H1542">
        <v>0</v>
      </c>
      <c r="I1542">
        <v>3117.756399</v>
      </c>
      <c r="J1542">
        <v>7.500683001758636</v>
      </c>
      <c r="K1542">
        <v>0</v>
      </c>
      <c r="L1542">
        <v>1.633512497026824</v>
      </c>
      <c r="M1542">
        <v>81.87</v>
      </c>
      <c r="N1542">
        <v>43.04</v>
      </c>
    </row>
    <row r="1543" spans="1:14">
      <c r="A1543" s="1" t="s">
        <v>1555</v>
      </c>
      <c r="B1543">
        <f>HYPERLINK("https://www.suredividend.com/sure-analysis-research-database/","SkyWater Technology Inc")</f>
        <v>0</v>
      </c>
      <c r="C1543" t="s">
        <v>1921</v>
      </c>
      <c r="D1543">
        <v>8.1</v>
      </c>
      <c r="E1543">
        <v>0</v>
      </c>
      <c r="F1543" t="s">
        <v>1921</v>
      </c>
      <c r="G1543" t="s">
        <v>1921</v>
      </c>
      <c r="H1543">
        <v>0</v>
      </c>
      <c r="I1543">
        <v>337.113608</v>
      </c>
      <c r="J1543">
        <v>0</v>
      </c>
      <c r="K1543" t="s">
        <v>1921</v>
      </c>
      <c r="L1543">
        <v>2.21221799600844</v>
      </c>
      <c r="M1543">
        <v>20.95</v>
      </c>
      <c r="N1543">
        <v>4.43</v>
      </c>
    </row>
    <row r="1544" spans="1:14">
      <c r="A1544" s="1" t="s">
        <v>1556</v>
      </c>
      <c r="B1544">
        <f>HYPERLINK("https://www.suredividend.com/sure-analysis-research-database/","Skywest Inc.")</f>
        <v>0</v>
      </c>
      <c r="C1544" t="s">
        <v>1924</v>
      </c>
      <c r="D1544">
        <v>18.58</v>
      </c>
      <c r="E1544">
        <v>0</v>
      </c>
      <c r="F1544" t="s">
        <v>1921</v>
      </c>
      <c r="G1544" t="s">
        <v>1921</v>
      </c>
      <c r="H1544">
        <v>0</v>
      </c>
      <c r="I1544">
        <v>940.118514</v>
      </c>
      <c r="J1544">
        <v>7.557891079918642</v>
      </c>
      <c r="K1544">
        <v>0</v>
      </c>
      <c r="L1544">
        <v>1.125394569804022</v>
      </c>
      <c r="M1544">
        <v>42.97</v>
      </c>
      <c r="N1544">
        <v>14.76</v>
      </c>
    </row>
    <row r="1545" spans="1:14">
      <c r="A1545" s="1" t="s">
        <v>1557</v>
      </c>
      <c r="B1545">
        <f>HYPERLINK("https://www.suredividend.com/sure-analysis-research-database/","Silicon Laboratories Inc")</f>
        <v>0</v>
      </c>
      <c r="C1545" t="s">
        <v>1920</v>
      </c>
      <c r="D1545">
        <v>148.28</v>
      </c>
      <c r="E1545">
        <v>0</v>
      </c>
      <c r="F1545" t="s">
        <v>1921</v>
      </c>
      <c r="G1545" t="s">
        <v>1921</v>
      </c>
      <c r="H1545">
        <v>0</v>
      </c>
      <c r="I1545">
        <v>4935.188115</v>
      </c>
      <c r="J1545">
        <v>78.40725919387383</v>
      </c>
      <c r="K1545">
        <v>0</v>
      </c>
      <c r="L1545">
        <v>1.432432436570784</v>
      </c>
      <c r="M1545">
        <v>194.76</v>
      </c>
      <c r="N1545">
        <v>109.44</v>
      </c>
    </row>
    <row r="1546" spans="1:14">
      <c r="A1546" s="1" t="s">
        <v>1558</v>
      </c>
      <c r="B1546">
        <f>HYPERLINK("https://www.suredividend.com/sure-analysis-research-database/","U.S. Silica Holdings Inc")</f>
        <v>0</v>
      </c>
      <c r="C1546" t="s">
        <v>1926</v>
      </c>
      <c r="D1546">
        <v>11.66</v>
      </c>
      <c r="E1546">
        <v>0</v>
      </c>
      <c r="F1546" t="s">
        <v>1921</v>
      </c>
      <c r="G1546" t="s">
        <v>1921</v>
      </c>
      <c r="H1546">
        <v>0</v>
      </c>
      <c r="I1546">
        <v>882.765564</v>
      </c>
      <c r="J1546">
        <v>32.01906289880304</v>
      </c>
      <c r="K1546">
        <v>0</v>
      </c>
      <c r="L1546">
        <v>1.086340659033757</v>
      </c>
      <c r="M1546">
        <v>21.54</v>
      </c>
      <c r="N1546">
        <v>8.91</v>
      </c>
    </row>
    <row r="1547" spans="1:14">
      <c r="A1547" s="1" t="s">
        <v>1559</v>
      </c>
      <c r="B1547">
        <f>HYPERLINK("https://www.suredividend.com/sure-analysis-research-database/","Solid Biosciences Inc")</f>
        <v>0</v>
      </c>
      <c r="C1547" t="s">
        <v>1922</v>
      </c>
      <c r="D1547">
        <v>6</v>
      </c>
      <c r="E1547">
        <v>0</v>
      </c>
      <c r="F1547" t="s">
        <v>1921</v>
      </c>
      <c r="G1547" t="s">
        <v>1921</v>
      </c>
      <c r="H1547">
        <v>0</v>
      </c>
      <c r="I1547">
        <v>45.209352</v>
      </c>
      <c r="J1547">
        <v>0</v>
      </c>
      <c r="K1547" t="s">
        <v>1921</v>
      </c>
      <c r="L1547">
        <v>0.796308456086075</v>
      </c>
      <c r="M1547">
        <v>27</v>
      </c>
      <c r="N1547">
        <v>5.21</v>
      </c>
    </row>
    <row r="1548" spans="1:14">
      <c r="A1548" s="1" t="s">
        <v>1560</v>
      </c>
      <c r="B1548">
        <f>HYPERLINK("https://www.suredividend.com/sure-analysis-research-database/","Simulations Plus Inc.")</f>
        <v>0</v>
      </c>
      <c r="C1548" t="s">
        <v>1922</v>
      </c>
      <c r="D1548">
        <v>35.59</v>
      </c>
      <c r="E1548">
        <v>0.006730675883162</v>
      </c>
      <c r="F1548">
        <v>0</v>
      </c>
      <c r="G1548">
        <v>0</v>
      </c>
      <c r="H1548">
        <v>0.239544754681766</v>
      </c>
      <c r="I1548">
        <v>723.527937</v>
      </c>
      <c r="J1548">
        <v>0</v>
      </c>
      <c r="K1548" t="s">
        <v>1921</v>
      </c>
      <c r="L1548">
        <v>1.171617314871074</v>
      </c>
      <c r="M1548">
        <v>67.48999999999999</v>
      </c>
      <c r="N1548">
        <v>32.58</v>
      </c>
    </row>
    <row r="1549" spans="1:14">
      <c r="A1549" s="1" t="s">
        <v>1561</v>
      </c>
      <c r="B1549">
        <f>HYPERLINK("https://www.suredividend.com/sure-analysis-research-database/","SelectQuote Inc")</f>
        <v>0</v>
      </c>
      <c r="C1549" t="s">
        <v>1921</v>
      </c>
      <c r="D1549">
        <v>0.7846000000000001</v>
      </c>
      <c r="E1549">
        <v>0</v>
      </c>
      <c r="F1549" t="s">
        <v>1921</v>
      </c>
      <c r="G1549" t="s">
        <v>1921</v>
      </c>
      <c r="H1549">
        <v>0</v>
      </c>
      <c r="I1549">
        <v>130.606277</v>
      </c>
      <c r="J1549">
        <v>0</v>
      </c>
      <c r="K1549" t="s">
        <v>1921</v>
      </c>
      <c r="L1549">
        <v>2.288780011235855</v>
      </c>
      <c r="M1549">
        <v>9.19</v>
      </c>
      <c r="N1549">
        <v>0.51</v>
      </c>
    </row>
    <row r="1550" spans="1:14">
      <c r="A1550" s="1" t="s">
        <v>1562</v>
      </c>
      <c r="B1550">
        <f>HYPERLINK("https://www.suredividend.com/sure-analysis-research-database/","SM Energy Co")</f>
        <v>0</v>
      </c>
      <c r="C1550" t="s">
        <v>1926</v>
      </c>
      <c r="D1550">
        <v>30.68</v>
      </c>
      <c r="E1550">
        <v>0.005214025537741001</v>
      </c>
      <c r="F1550" t="s">
        <v>1921</v>
      </c>
      <c r="G1550" t="s">
        <v>1921</v>
      </c>
      <c r="H1550">
        <v>0.159966303497911</v>
      </c>
      <c r="I1550">
        <v>3767.382691</v>
      </c>
      <c r="J1550">
        <v>2.946976774111792</v>
      </c>
      <c r="K1550">
        <v>0.01598064970009101</v>
      </c>
      <c r="L1550">
        <v>1.07413098987138</v>
      </c>
      <c r="M1550">
        <v>54.78</v>
      </c>
      <c r="N1550">
        <v>28.81</v>
      </c>
    </row>
    <row r="1551" spans="1:14">
      <c r="A1551" s="1" t="s">
        <v>1563</v>
      </c>
      <c r="B1551">
        <f>HYPERLINK("https://www.suredividend.com/sure-analysis-research-database/","Southern Missouri Bancorp, Inc.")</f>
        <v>0</v>
      </c>
      <c r="C1551" t="s">
        <v>1923</v>
      </c>
      <c r="D1551">
        <v>46.6</v>
      </c>
      <c r="E1551">
        <v>0.017491156038182</v>
      </c>
      <c r="F1551">
        <v>0.04999999999999982</v>
      </c>
      <c r="G1551">
        <v>0.1380604263098537</v>
      </c>
      <c r="H1551">
        <v>0.815087871379314</v>
      </c>
      <c r="I1551">
        <v>430.078437</v>
      </c>
      <c r="J1551">
        <v>0</v>
      </c>
      <c r="K1551" t="s">
        <v>1921</v>
      </c>
      <c r="L1551">
        <v>0.52675326333794</v>
      </c>
      <c r="M1551">
        <v>57.07</v>
      </c>
      <c r="N1551">
        <v>41.27</v>
      </c>
    </row>
    <row r="1552" spans="1:14">
      <c r="A1552" s="1" t="s">
        <v>1564</v>
      </c>
      <c r="B1552">
        <f>HYPERLINK("https://www.suredividend.com/sure-analysis-research-database/","SmartFinancial Inc")</f>
        <v>0</v>
      </c>
      <c r="C1552" t="s">
        <v>1923</v>
      </c>
      <c r="D1552">
        <v>26.98</v>
      </c>
      <c r="E1552">
        <v>0.010313693283973</v>
      </c>
      <c r="F1552" t="s">
        <v>1921</v>
      </c>
      <c r="G1552" t="s">
        <v>1921</v>
      </c>
      <c r="H1552">
        <v>0.278263444801591</v>
      </c>
      <c r="I1552">
        <v>455.646469</v>
      </c>
      <c r="J1552">
        <v>0</v>
      </c>
      <c r="K1552" t="s">
        <v>1921</v>
      </c>
      <c r="L1552">
        <v>0.5641281212825511</v>
      </c>
      <c r="M1552">
        <v>30.5</v>
      </c>
      <c r="N1552">
        <v>22.4</v>
      </c>
    </row>
    <row r="1553" spans="1:14">
      <c r="A1553" s="1" t="s">
        <v>1565</v>
      </c>
      <c r="B1553">
        <f>HYPERLINK("https://www.suredividend.com/sure-analysis-research-database/","Super Micro Computer Inc")</f>
        <v>0</v>
      </c>
      <c r="C1553" t="s">
        <v>1920</v>
      </c>
      <c r="D1553">
        <v>84.77</v>
      </c>
      <c r="E1553">
        <v>0</v>
      </c>
      <c r="F1553" t="s">
        <v>1921</v>
      </c>
      <c r="G1553" t="s">
        <v>1921</v>
      </c>
      <c r="H1553">
        <v>0</v>
      </c>
      <c r="I1553">
        <v>4486.273046</v>
      </c>
      <c r="J1553">
        <v>10.10098807638098</v>
      </c>
      <c r="K1553">
        <v>0</v>
      </c>
      <c r="L1553">
        <v>1.430803228672051</v>
      </c>
      <c r="M1553">
        <v>95.22</v>
      </c>
      <c r="N1553">
        <v>34.11</v>
      </c>
    </row>
    <row r="1554" spans="1:14">
      <c r="A1554" s="1" t="s">
        <v>1566</v>
      </c>
      <c r="B1554">
        <f>HYPERLINK("https://www.suredividend.com/sure-analysis-research-database/","Sharps Compliance Corp.")</f>
        <v>0</v>
      </c>
      <c r="C1554" t="s">
        <v>1924</v>
      </c>
      <c r="D1554">
        <v>8.75</v>
      </c>
      <c r="E1554">
        <v>0</v>
      </c>
      <c r="F1554" t="s">
        <v>1921</v>
      </c>
      <c r="G1554" t="s">
        <v>1921</v>
      </c>
      <c r="H1554">
        <v>0</v>
      </c>
      <c r="I1554">
        <v>0</v>
      </c>
      <c r="J1554">
        <v>0</v>
      </c>
      <c r="K1554" t="s">
        <v>1921</v>
      </c>
    </row>
    <row r="1555" spans="1:14">
      <c r="A1555" s="1" t="s">
        <v>1567</v>
      </c>
      <c r="B1555">
        <f>HYPERLINK("https://www.suredividend.com/sure-analysis-research-database/","Summit Financial Group Inc")</f>
        <v>0</v>
      </c>
      <c r="C1555" t="s">
        <v>1923</v>
      </c>
      <c r="D1555">
        <v>24.65</v>
      </c>
      <c r="E1555">
        <v>0.030505958783623</v>
      </c>
      <c r="F1555">
        <v>0.1111111111111112</v>
      </c>
      <c r="G1555">
        <v>0.08997698704834534</v>
      </c>
      <c r="H1555">
        <v>0.7519718840163091</v>
      </c>
      <c r="I1555">
        <v>315.040656</v>
      </c>
      <c r="J1555">
        <v>0</v>
      </c>
      <c r="K1555" t="s">
        <v>1921</v>
      </c>
      <c r="L1555">
        <v>0.508372232846919</v>
      </c>
      <c r="M1555">
        <v>30.38</v>
      </c>
      <c r="N1555">
        <v>23.75</v>
      </c>
    </row>
    <row r="1556" spans="1:14">
      <c r="A1556" s="1" t="s">
        <v>1568</v>
      </c>
      <c r="B1556">
        <f>HYPERLINK("https://www.suredividend.com/sure-analysis-research-database/","Summit Therapeutics Inc")</f>
        <v>0</v>
      </c>
      <c r="C1556" t="s">
        <v>1922</v>
      </c>
      <c r="D1556">
        <v>3.77</v>
      </c>
      <c r="E1556">
        <v>0</v>
      </c>
      <c r="F1556" t="s">
        <v>1921</v>
      </c>
      <c r="G1556" t="s">
        <v>1921</v>
      </c>
      <c r="H1556">
        <v>0</v>
      </c>
      <c r="I1556">
        <v>758.98083</v>
      </c>
      <c r="J1556">
        <v>0</v>
      </c>
      <c r="K1556" t="s">
        <v>1921</v>
      </c>
      <c r="L1556">
        <v>-0.206139697542279</v>
      </c>
      <c r="M1556">
        <v>5.78</v>
      </c>
      <c r="N1556">
        <v>0.66</v>
      </c>
    </row>
    <row r="1557" spans="1:14">
      <c r="A1557" s="1" t="s">
        <v>1569</v>
      </c>
      <c r="B1557">
        <f>HYPERLINK("https://www.suredividend.com/sure-analysis-research-database/","Standard Motor Products, Inc.")</f>
        <v>0</v>
      </c>
      <c r="C1557" t="s">
        <v>1927</v>
      </c>
      <c r="D1557">
        <v>36</v>
      </c>
      <c r="E1557">
        <v>0.029694193309961</v>
      </c>
      <c r="F1557" t="s">
        <v>1921</v>
      </c>
      <c r="G1557" t="s">
        <v>1921</v>
      </c>
      <c r="H1557">
        <v>1.068990959158618</v>
      </c>
      <c r="I1557">
        <v>776.523492</v>
      </c>
      <c r="J1557">
        <v>11.74557556873185</v>
      </c>
      <c r="K1557">
        <v>0.3599296158783226</v>
      </c>
      <c r="L1557">
        <v>0.6791050254881951</v>
      </c>
      <c r="M1557">
        <v>51</v>
      </c>
      <c r="N1557">
        <v>31.4</v>
      </c>
    </row>
    <row r="1558" spans="1:14">
      <c r="A1558" s="1" t="s">
        <v>1570</v>
      </c>
      <c r="B1558">
        <f>HYPERLINK("https://www.suredividend.com/sure-analysis-research-database/","Simply Good Foods Co")</f>
        <v>0</v>
      </c>
      <c r="C1558" t="s">
        <v>1928</v>
      </c>
      <c r="D1558">
        <v>35.72</v>
      </c>
      <c r="E1558">
        <v>0</v>
      </c>
      <c r="F1558" t="s">
        <v>1921</v>
      </c>
      <c r="G1558" t="s">
        <v>1921</v>
      </c>
      <c r="H1558">
        <v>0</v>
      </c>
      <c r="I1558">
        <v>3553.831272</v>
      </c>
      <c r="J1558">
        <v>28.82684635259</v>
      </c>
      <c r="K1558">
        <v>0</v>
      </c>
      <c r="L1558">
        <v>0.9193975893245661</v>
      </c>
      <c r="M1558">
        <v>45.77</v>
      </c>
      <c r="N1558">
        <v>29.21</v>
      </c>
    </row>
    <row r="1559" spans="1:14">
      <c r="A1559" s="1" t="s">
        <v>1571</v>
      </c>
      <c r="B1559">
        <f>HYPERLINK("https://www.suredividend.com/sure-analysis-research-database/","Smith Micro Software, Inc.")</f>
        <v>0</v>
      </c>
      <c r="C1559" t="s">
        <v>1920</v>
      </c>
      <c r="D1559">
        <v>2.46</v>
      </c>
      <c r="E1559">
        <v>0</v>
      </c>
      <c r="F1559" t="s">
        <v>1921</v>
      </c>
      <c r="G1559" t="s">
        <v>1921</v>
      </c>
      <c r="H1559">
        <v>0</v>
      </c>
      <c r="I1559">
        <v>138.33596</v>
      </c>
      <c r="J1559" t="s">
        <v>1921</v>
      </c>
      <c r="K1559">
        <v>-0</v>
      </c>
      <c r="L1559">
        <v>1.202411805606153</v>
      </c>
      <c r="M1559">
        <v>4.61</v>
      </c>
      <c r="N1559">
        <v>1.89</v>
      </c>
    </row>
    <row r="1560" spans="1:14">
      <c r="A1560" s="1" t="s">
        <v>1572</v>
      </c>
      <c r="B1560">
        <f>HYPERLINK("https://www.suredividend.com/sure-analysis-research-database/","Semtech Corp.")</f>
        <v>0</v>
      </c>
      <c r="C1560" t="s">
        <v>1920</v>
      </c>
      <c r="D1560">
        <v>30.53</v>
      </c>
      <c r="E1560">
        <v>0</v>
      </c>
      <c r="F1560" t="s">
        <v>1921</v>
      </c>
      <c r="G1560" t="s">
        <v>1921</v>
      </c>
      <c r="H1560">
        <v>0</v>
      </c>
      <c r="I1560">
        <v>1948.965866</v>
      </c>
      <c r="J1560">
        <v>13.2405270920603</v>
      </c>
      <c r="K1560">
        <v>0</v>
      </c>
      <c r="L1560">
        <v>1.461895964096113</v>
      </c>
      <c r="M1560">
        <v>84.5</v>
      </c>
      <c r="N1560">
        <v>25.29</v>
      </c>
    </row>
    <row r="1561" spans="1:14">
      <c r="A1561" s="1" t="s">
        <v>1573</v>
      </c>
      <c r="B1561">
        <f>HYPERLINK("https://www.suredividend.com/sure-analysis-research-database/","Sleep Number Corp")</f>
        <v>0</v>
      </c>
      <c r="C1561" t="s">
        <v>1927</v>
      </c>
      <c r="D1561">
        <v>29.45</v>
      </c>
      <c r="E1561">
        <v>0</v>
      </c>
      <c r="F1561" t="s">
        <v>1921</v>
      </c>
      <c r="G1561" t="s">
        <v>1921</v>
      </c>
      <c r="H1561">
        <v>0</v>
      </c>
      <c r="I1561">
        <v>647.92945</v>
      </c>
      <c r="J1561">
        <v>12.18347624151483</v>
      </c>
      <c r="K1561">
        <v>0</v>
      </c>
      <c r="L1561">
        <v>1.494744629313524</v>
      </c>
      <c r="M1561">
        <v>78.63</v>
      </c>
      <c r="N1561">
        <v>23.61</v>
      </c>
    </row>
    <row r="1562" spans="1:14">
      <c r="A1562" s="1" t="s">
        <v>1574</v>
      </c>
      <c r="B1562">
        <f>HYPERLINK("https://www.suredividend.com/sure-analysis-research-database/","Sun Country Airlines Holdings Inc")</f>
        <v>0</v>
      </c>
      <c r="C1562" t="s">
        <v>1921</v>
      </c>
      <c r="D1562">
        <v>17.49</v>
      </c>
      <c r="E1562">
        <v>0</v>
      </c>
      <c r="F1562" t="s">
        <v>1921</v>
      </c>
      <c r="G1562" t="s">
        <v>1921</v>
      </c>
      <c r="H1562">
        <v>0</v>
      </c>
      <c r="I1562">
        <v>1017.335128</v>
      </c>
      <c r="J1562">
        <v>0</v>
      </c>
      <c r="K1562" t="s">
        <v>1921</v>
      </c>
      <c r="L1562">
        <v>1.223580273190592</v>
      </c>
      <c r="M1562">
        <v>30.61</v>
      </c>
      <c r="N1562">
        <v>13.25</v>
      </c>
    </row>
    <row r="1563" spans="1:14">
      <c r="A1563" s="1" t="s">
        <v>1575</v>
      </c>
      <c r="B1563">
        <f>HYPERLINK("https://www.suredividend.com/sure-analysis-research-database/","Syndax Pharmaceuticals Inc")</f>
        <v>0</v>
      </c>
      <c r="C1563" t="s">
        <v>1922</v>
      </c>
      <c r="D1563">
        <v>24</v>
      </c>
      <c r="E1563">
        <v>0</v>
      </c>
      <c r="F1563" t="s">
        <v>1921</v>
      </c>
      <c r="G1563" t="s">
        <v>1921</v>
      </c>
      <c r="H1563">
        <v>0</v>
      </c>
      <c r="I1563">
        <v>1445.363952</v>
      </c>
      <c r="J1563" t="s">
        <v>1921</v>
      </c>
      <c r="K1563">
        <v>-0</v>
      </c>
      <c r="L1563">
        <v>0.9299928600519251</v>
      </c>
      <c r="M1563">
        <v>26.51</v>
      </c>
      <c r="N1563">
        <v>13.27</v>
      </c>
    </row>
    <row r="1564" spans="1:14">
      <c r="A1564" s="1" t="s">
        <v>1576</v>
      </c>
      <c r="B1564">
        <f>HYPERLINK("https://www.suredividend.com/sure-analysis-research-database/","StoneX Group Inc")</f>
        <v>0</v>
      </c>
      <c r="C1564" t="s">
        <v>1921</v>
      </c>
      <c r="D1564">
        <v>94.98999999999999</v>
      </c>
      <c r="E1564">
        <v>0</v>
      </c>
      <c r="F1564" t="s">
        <v>1921</v>
      </c>
      <c r="G1564" t="s">
        <v>1921</v>
      </c>
      <c r="H1564">
        <v>0</v>
      </c>
      <c r="I1564">
        <v>1937.227105</v>
      </c>
      <c r="J1564">
        <v>9.637945795472636</v>
      </c>
      <c r="K1564">
        <v>0</v>
      </c>
      <c r="L1564">
        <v>0.695677202326435</v>
      </c>
      <c r="M1564">
        <v>103</v>
      </c>
      <c r="N1564">
        <v>60.76</v>
      </c>
    </row>
    <row r="1565" spans="1:14">
      <c r="A1565" s="1" t="s">
        <v>1577</v>
      </c>
      <c r="B1565">
        <f>HYPERLINK("https://www.suredividend.com/sure-analysis-research-database/","Snap One Holdings Corp")</f>
        <v>0</v>
      </c>
      <c r="C1565" t="s">
        <v>1921</v>
      </c>
      <c r="D1565">
        <v>8.029999999999999</v>
      </c>
      <c r="E1565">
        <v>0</v>
      </c>
      <c r="F1565" t="s">
        <v>1921</v>
      </c>
      <c r="G1565" t="s">
        <v>1921</v>
      </c>
      <c r="H1565">
        <v>0</v>
      </c>
      <c r="I1565">
        <v>609.8044149999999</v>
      </c>
      <c r="J1565">
        <v>0</v>
      </c>
      <c r="K1565" t="s">
        <v>1921</v>
      </c>
      <c r="L1565">
        <v>1.450596669902102</v>
      </c>
      <c r="M1565">
        <v>21.13</v>
      </c>
      <c r="N1565">
        <v>7.02</v>
      </c>
    </row>
    <row r="1566" spans="1:14">
      <c r="A1566" s="1" t="s">
        <v>1578</v>
      </c>
      <c r="B1566">
        <f>HYPERLINK("https://www.suredividend.com/sure-analysis-research-database/","Sensei Biotherapeutics Inc")</f>
        <v>0</v>
      </c>
      <c r="C1566" t="s">
        <v>1921</v>
      </c>
      <c r="D1566">
        <v>1.53</v>
      </c>
      <c r="E1566">
        <v>0</v>
      </c>
      <c r="F1566" t="s">
        <v>1921</v>
      </c>
      <c r="G1566" t="s">
        <v>1921</v>
      </c>
      <c r="H1566">
        <v>0</v>
      </c>
      <c r="I1566">
        <v>47.002045</v>
      </c>
      <c r="J1566">
        <v>0</v>
      </c>
      <c r="K1566" t="s">
        <v>1921</v>
      </c>
      <c r="L1566">
        <v>1.153955514800309</v>
      </c>
      <c r="M1566">
        <v>5.51</v>
      </c>
      <c r="N1566">
        <v>1.3</v>
      </c>
    </row>
    <row r="1567" spans="1:14">
      <c r="A1567" s="1" t="s">
        <v>1579</v>
      </c>
      <c r="B1567">
        <f>HYPERLINK("https://www.suredividend.com/sure-analysis-research-database/","Solaris Oilfield Infrastructure Inc")</f>
        <v>0</v>
      </c>
      <c r="C1567" t="s">
        <v>1926</v>
      </c>
      <c r="D1567">
        <v>9.98</v>
      </c>
      <c r="E1567">
        <v>0.041493384179575</v>
      </c>
      <c r="F1567" t="s">
        <v>1921</v>
      </c>
      <c r="G1567" t="s">
        <v>1921</v>
      </c>
      <c r="H1567">
        <v>0.414103974112163</v>
      </c>
      <c r="I1567">
        <v>328.690601</v>
      </c>
      <c r="J1567">
        <v>19.76016600937838</v>
      </c>
      <c r="K1567">
        <v>0.7805918456402697</v>
      </c>
      <c r="L1567">
        <v>0.77708486349477</v>
      </c>
      <c r="M1567">
        <v>14.22</v>
      </c>
      <c r="N1567">
        <v>6.78</v>
      </c>
    </row>
    <row r="1568" spans="1:14">
      <c r="A1568" s="1" t="s">
        <v>1580</v>
      </c>
      <c r="B1568">
        <f>HYPERLINK("https://www.suredividend.com/sure-analysis-research-database/","Sonos Inc")</f>
        <v>0</v>
      </c>
      <c r="C1568" t="s">
        <v>1920</v>
      </c>
      <c r="D1568">
        <v>17.78</v>
      </c>
      <c r="E1568">
        <v>0</v>
      </c>
      <c r="F1568" t="s">
        <v>1921</v>
      </c>
      <c r="G1568" t="s">
        <v>1921</v>
      </c>
      <c r="H1568">
        <v>0</v>
      </c>
      <c r="I1568">
        <v>2252.46899</v>
      </c>
      <c r="J1568">
        <v>33.42785257557544</v>
      </c>
      <c r="K1568">
        <v>0</v>
      </c>
      <c r="L1568">
        <v>1.397179289914522</v>
      </c>
      <c r="M1568">
        <v>31.22</v>
      </c>
      <c r="N1568">
        <v>13.65</v>
      </c>
    </row>
    <row r="1569" spans="1:14">
      <c r="A1569" s="1" t="s">
        <v>1581</v>
      </c>
      <c r="B1569">
        <f>HYPERLINK("https://www.suredividend.com/sure-analysis-research-database/","Sovos Brands Inc")</f>
        <v>0</v>
      </c>
      <c r="C1569" t="s">
        <v>1921</v>
      </c>
      <c r="D1569">
        <v>14</v>
      </c>
      <c r="E1569">
        <v>0</v>
      </c>
      <c r="F1569" t="s">
        <v>1921</v>
      </c>
      <c r="G1569" t="s">
        <v>1921</v>
      </c>
      <c r="H1569">
        <v>0</v>
      </c>
      <c r="I1569">
        <v>1413.467804</v>
      </c>
      <c r="J1569">
        <v>0</v>
      </c>
      <c r="K1569" t="s">
        <v>1921</v>
      </c>
      <c r="L1569">
        <v>0.7224288968228071</v>
      </c>
      <c r="M1569">
        <v>16.83</v>
      </c>
      <c r="N1569">
        <v>9.52</v>
      </c>
    </row>
    <row r="1570" spans="1:14">
      <c r="A1570" s="1" t="s">
        <v>1582</v>
      </c>
      <c r="B1570">
        <f>HYPERLINK("https://www.suredividend.com/sure-analysis-research-database/","SP Plus Corp")</f>
        <v>0</v>
      </c>
      <c r="C1570" t="s">
        <v>1924</v>
      </c>
      <c r="D1570">
        <v>35</v>
      </c>
      <c r="E1570">
        <v>0</v>
      </c>
      <c r="F1570" t="s">
        <v>1921</v>
      </c>
      <c r="G1570" t="s">
        <v>1921</v>
      </c>
      <c r="H1570">
        <v>0</v>
      </c>
      <c r="I1570">
        <v>705.851545</v>
      </c>
      <c r="J1570">
        <v>14.31747555780933</v>
      </c>
      <c r="K1570">
        <v>0</v>
      </c>
      <c r="L1570">
        <v>0.78639958194961</v>
      </c>
      <c r="M1570">
        <v>37.52</v>
      </c>
      <c r="N1570">
        <v>26.11</v>
      </c>
    </row>
    <row r="1571" spans="1:14">
      <c r="A1571" s="1" t="s">
        <v>1583</v>
      </c>
      <c r="B1571">
        <f>HYPERLINK("https://www.suredividend.com/sure-analysis-research-database/","South Plains Financial Inc")</f>
        <v>0</v>
      </c>
      <c r="C1571" t="s">
        <v>1923</v>
      </c>
      <c r="D1571">
        <v>27.85</v>
      </c>
      <c r="E1571">
        <v>0.016415781808689</v>
      </c>
      <c r="F1571" t="s">
        <v>1921</v>
      </c>
      <c r="G1571" t="s">
        <v>1921</v>
      </c>
      <c r="H1571">
        <v>0.457179523372002</v>
      </c>
      <c r="I1571">
        <v>473.445572</v>
      </c>
      <c r="J1571">
        <v>0</v>
      </c>
      <c r="K1571" t="s">
        <v>1921</v>
      </c>
      <c r="L1571">
        <v>0.5479059840867431</v>
      </c>
      <c r="M1571">
        <v>31.96</v>
      </c>
      <c r="N1571">
        <v>22.28</v>
      </c>
    </row>
    <row r="1572" spans="1:14">
      <c r="A1572" s="1" t="s">
        <v>1584</v>
      </c>
      <c r="B1572">
        <f>HYPERLINK("https://www.suredividend.com/sure-analysis-research-database/","SeaSpine Holdings Corp")</f>
        <v>0</v>
      </c>
      <c r="C1572" t="s">
        <v>1922</v>
      </c>
      <c r="D1572">
        <v>9.539999999999999</v>
      </c>
      <c r="E1572">
        <v>0</v>
      </c>
      <c r="F1572" t="s">
        <v>1921</v>
      </c>
      <c r="G1572" t="s">
        <v>1921</v>
      </c>
      <c r="H1572">
        <v>0</v>
      </c>
      <c r="I1572">
        <v>0</v>
      </c>
      <c r="J1572">
        <v>0</v>
      </c>
      <c r="K1572" t="s">
        <v>1921</v>
      </c>
    </row>
    <row r="1573" spans="1:14">
      <c r="A1573" s="1" t="s">
        <v>1585</v>
      </c>
      <c r="B1573">
        <f>HYPERLINK("https://www.suredividend.com/sure-analysis-research-database/","Sapiens International Corp NV")</f>
        <v>0</v>
      </c>
      <c r="C1573" t="s">
        <v>1920</v>
      </c>
      <c r="D1573">
        <v>20.14</v>
      </c>
      <c r="E1573">
        <v>0.034519591891511</v>
      </c>
      <c r="F1573" t="s">
        <v>1921</v>
      </c>
      <c r="G1573" t="s">
        <v>1921</v>
      </c>
      <c r="H1573">
        <v>0.695224580695047</v>
      </c>
      <c r="I1573">
        <v>1109.861727</v>
      </c>
      <c r="J1573">
        <v>20.98354622438176</v>
      </c>
      <c r="K1573">
        <v>0.7308921159535817</v>
      </c>
      <c r="L1573">
        <v>1.127555193935622</v>
      </c>
      <c r="M1573">
        <v>32.8</v>
      </c>
      <c r="N1573">
        <v>16.18</v>
      </c>
    </row>
    <row r="1574" spans="1:14">
      <c r="A1574" s="1" t="s">
        <v>1586</v>
      </c>
      <c r="B1574">
        <f>HYPERLINK("https://www.suredividend.com/sure-analysis-research-database/","SiriusPoint Ltd")</f>
        <v>0</v>
      </c>
      <c r="C1574" t="s">
        <v>1921</v>
      </c>
      <c r="D1574">
        <v>6.06</v>
      </c>
      <c r="E1574">
        <v>0</v>
      </c>
      <c r="F1574" t="s">
        <v>1921</v>
      </c>
      <c r="G1574" t="s">
        <v>1921</v>
      </c>
      <c r="H1574">
        <v>0</v>
      </c>
      <c r="I1574">
        <v>982.742389</v>
      </c>
      <c r="J1574">
        <v>0</v>
      </c>
      <c r="K1574" t="s">
        <v>1921</v>
      </c>
      <c r="L1574">
        <v>0.7565295311266511</v>
      </c>
      <c r="M1574">
        <v>8.66</v>
      </c>
      <c r="N1574">
        <v>4.07</v>
      </c>
    </row>
    <row r="1575" spans="1:14">
      <c r="A1575" s="1" t="s">
        <v>1587</v>
      </c>
      <c r="B1575">
        <f>HYPERLINK("https://www.suredividend.com/sure-analysis-research-database/","Spectrum Pharmaceuticals, Inc.")</f>
        <v>0</v>
      </c>
      <c r="C1575" t="s">
        <v>1922</v>
      </c>
      <c r="D1575">
        <v>0.475</v>
      </c>
      <c r="E1575">
        <v>0</v>
      </c>
      <c r="F1575" t="s">
        <v>1921</v>
      </c>
      <c r="G1575" t="s">
        <v>1921</v>
      </c>
      <c r="H1575">
        <v>0</v>
      </c>
      <c r="I1575">
        <v>89.377988</v>
      </c>
      <c r="J1575">
        <v>0</v>
      </c>
      <c r="K1575" t="s">
        <v>1921</v>
      </c>
      <c r="M1575">
        <v>1.57</v>
      </c>
      <c r="N1575">
        <v>0.315</v>
      </c>
    </row>
    <row r="1576" spans="1:14">
      <c r="A1576" s="1" t="s">
        <v>1588</v>
      </c>
      <c r="B1576">
        <f>HYPERLINK("https://www.suredividend.com/sure-analysis-research-database/","Spruce Biosciences Inc")</f>
        <v>0</v>
      </c>
      <c r="C1576" t="s">
        <v>1921</v>
      </c>
      <c r="D1576">
        <v>2.53</v>
      </c>
      <c r="E1576">
        <v>0</v>
      </c>
      <c r="F1576" t="s">
        <v>1921</v>
      </c>
      <c r="G1576" t="s">
        <v>1921</v>
      </c>
      <c r="H1576">
        <v>0</v>
      </c>
      <c r="I1576">
        <v>59.607432</v>
      </c>
      <c r="J1576">
        <v>0</v>
      </c>
      <c r="K1576" t="s">
        <v>1921</v>
      </c>
      <c r="L1576">
        <v>1.700883490026188</v>
      </c>
      <c r="M1576">
        <v>4.18</v>
      </c>
      <c r="N1576">
        <v>0.9547</v>
      </c>
    </row>
    <row r="1577" spans="1:14">
      <c r="A1577" s="1" t="s">
        <v>1589</v>
      </c>
      <c r="B1577">
        <f>HYPERLINK("https://www.suredividend.com/sure-analysis-research-database/","Spero Therapeutics Inc")</f>
        <v>0</v>
      </c>
      <c r="C1577" t="s">
        <v>1922</v>
      </c>
      <c r="D1577">
        <v>1.85</v>
      </c>
      <c r="E1577">
        <v>0</v>
      </c>
      <c r="F1577" t="s">
        <v>1921</v>
      </c>
      <c r="G1577" t="s">
        <v>1921</v>
      </c>
      <c r="H1577">
        <v>0</v>
      </c>
      <c r="I1577">
        <v>64.874832</v>
      </c>
      <c r="J1577">
        <v>0</v>
      </c>
      <c r="K1577" t="s">
        <v>1921</v>
      </c>
      <c r="L1577">
        <v>0.7549666357775071</v>
      </c>
      <c r="M1577">
        <v>13.45</v>
      </c>
      <c r="N1577">
        <v>0.6801</v>
      </c>
    </row>
    <row r="1578" spans="1:14">
      <c r="A1578" s="1" t="s">
        <v>1590</v>
      </c>
      <c r="B1578">
        <f>HYPERLINK("https://www.suredividend.com/sure-analysis-research-database/","SPS Commerce Inc.")</f>
        <v>0</v>
      </c>
      <c r="C1578" t="s">
        <v>1920</v>
      </c>
      <c r="D1578">
        <v>127.2</v>
      </c>
      <c r="E1578">
        <v>0</v>
      </c>
      <c r="F1578" t="s">
        <v>1921</v>
      </c>
      <c r="G1578" t="s">
        <v>1921</v>
      </c>
      <c r="H1578">
        <v>0</v>
      </c>
      <c r="I1578">
        <v>4584.506021</v>
      </c>
      <c r="J1578">
        <v>88.19071292705448</v>
      </c>
      <c r="K1578">
        <v>0</v>
      </c>
      <c r="L1578">
        <v>1.224358106318251</v>
      </c>
      <c r="M1578">
        <v>146.81</v>
      </c>
      <c r="N1578">
        <v>96.41</v>
      </c>
    </row>
    <row r="1579" spans="1:14">
      <c r="A1579" s="1" t="s">
        <v>1591</v>
      </c>
      <c r="B1579">
        <f>HYPERLINK("https://www.suredividend.com/sure-analysis-research-database/","Sprout Social Inc")</f>
        <v>0</v>
      </c>
      <c r="C1579" t="s">
        <v>1920</v>
      </c>
      <c r="D1579">
        <v>52.83</v>
      </c>
      <c r="E1579">
        <v>0</v>
      </c>
      <c r="F1579" t="s">
        <v>1921</v>
      </c>
      <c r="G1579" t="s">
        <v>1921</v>
      </c>
      <c r="H1579">
        <v>0</v>
      </c>
      <c r="I1579">
        <v>2496.837143</v>
      </c>
      <c r="J1579">
        <v>0</v>
      </c>
      <c r="K1579" t="s">
        <v>1921</v>
      </c>
      <c r="L1579">
        <v>2.512021716000532</v>
      </c>
      <c r="M1579">
        <v>85.98999999999999</v>
      </c>
      <c r="N1579">
        <v>38.39</v>
      </c>
    </row>
    <row r="1580" spans="1:14">
      <c r="A1580" s="1" t="s">
        <v>1592</v>
      </c>
      <c r="B1580">
        <f>HYPERLINK("https://www.suredividend.com/sure-analysis-SPTN/","SpartanNash Co")</f>
        <v>0</v>
      </c>
      <c r="C1580" t="s">
        <v>1928</v>
      </c>
      <c r="D1580">
        <v>30.53</v>
      </c>
      <c r="E1580">
        <v>0.02751392073370455</v>
      </c>
      <c r="F1580">
        <v>0.04999999999999982</v>
      </c>
      <c r="G1580">
        <v>0.03131030647754507</v>
      </c>
      <c r="H1580">
        <v>0.831556940369183</v>
      </c>
      <c r="I1580">
        <v>1076.950543</v>
      </c>
      <c r="J1580">
        <v>19.33171557934984</v>
      </c>
      <c r="K1580">
        <v>0.5364883486252794</v>
      </c>
      <c r="L1580">
        <v>0.6054751918748591</v>
      </c>
      <c r="M1580">
        <v>37.5</v>
      </c>
      <c r="N1580">
        <v>23.12</v>
      </c>
    </row>
    <row r="1581" spans="1:14">
      <c r="A1581" s="1" t="s">
        <v>1593</v>
      </c>
      <c r="B1581">
        <f>HYPERLINK("https://www.suredividend.com/sure-analysis-research-database/","Sportsman`s Warehouse Holdings Inc")</f>
        <v>0</v>
      </c>
      <c r="C1581" t="s">
        <v>1927</v>
      </c>
      <c r="D1581">
        <v>10.01</v>
      </c>
      <c r="E1581">
        <v>0</v>
      </c>
      <c r="F1581" t="s">
        <v>1921</v>
      </c>
      <c r="G1581" t="s">
        <v>1921</v>
      </c>
      <c r="H1581">
        <v>0</v>
      </c>
      <c r="I1581">
        <v>377.351334</v>
      </c>
      <c r="J1581">
        <v>0</v>
      </c>
      <c r="K1581" t="s">
        <v>1921</v>
      </c>
      <c r="L1581">
        <v>1.078722520673348</v>
      </c>
      <c r="M1581">
        <v>12.28</v>
      </c>
      <c r="N1581">
        <v>7.75</v>
      </c>
    </row>
    <row r="1582" spans="1:14">
      <c r="A1582" s="1" t="s">
        <v>1594</v>
      </c>
      <c r="B1582">
        <f>HYPERLINK("https://www.suredividend.com/sure-analysis-research-database/","Sunpower Corp")</f>
        <v>0</v>
      </c>
      <c r="C1582" t="s">
        <v>1920</v>
      </c>
      <c r="D1582">
        <v>16.82</v>
      </c>
      <c r="E1582">
        <v>0</v>
      </c>
      <c r="F1582" t="s">
        <v>1921</v>
      </c>
      <c r="G1582" t="s">
        <v>1921</v>
      </c>
      <c r="H1582">
        <v>0</v>
      </c>
      <c r="I1582">
        <v>2929.749818</v>
      </c>
      <c r="J1582">
        <v>42.69527569513262</v>
      </c>
      <c r="K1582">
        <v>0</v>
      </c>
      <c r="L1582">
        <v>1.609542609526071</v>
      </c>
      <c r="M1582">
        <v>28.42</v>
      </c>
      <c r="N1582">
        <v>12.78</v>
      </c>
    </row>
    <row r="1583" spans="1:14">
      <c r="A1583" s="1" t="s">
        <v>1595</v>
      </c>
      <c r="B1583">
        <f>HYPERLINK("https://www.suredividend.com/sure-analysis-research-database/","SPX Technologies Inc")</f>
        <v>0</v>
      </c>
      <c r="C1583" t="s">
        <v>1924</v>
      </c>
      <c r="D1583">
        <v>67.98999999999999</v>
      </c>
      <c r="E1583">
        <v>0</v>
      </c>
      <c r="F1583" t="s">
        <v>1921</v>
      </c>
      <c r="G1583" t="s">
        <v>1921</v>
      </c>
      <c r="H1583">
        <v>0</v>
      </c>
      <c r="I1583">
        <v>3072.265626</v>
      </c>
      <c r="J1583">
        <v>0</v>
      </c>
      <c r="K1583" t="s">
        <v>1921</v>
      </c>
      <c r="M1583">
        <v>75.25</v>
      </c>
      <c r="N1583">
        <v>53.19</v>
      </c>
    </row>
    <row r="1584" spans="1:14">
      <c r="A1584" s="1" t="s">
        <v>1596</v>
      </c>
      <c r="B1584">
        <f>HYPERLINK("https://www.suredividend.com/sure-analysis-research-database/","SQZ Biotechnologies Co")</f>
        <v>0</v>
      </c>
      <c r="C1584" t="s">
        <v>1921</v>
      </c>
      <c r="D1584">
        <v>0.7367</v>
      </c>
      <c r="E1584">
        <v>0</v>
      </c>
      <c r="F1584" t="s">
        <v>1921</v>
      </c>
      <c r="G1584" t="s">
        <v>1921</v>
      </c>
      <c r="H1584">
        <v>0</v>
      </c>
      <c r="I1584">
        <v>21.696269</v>
      </c>
      <c r="J1584">
        <v>0</v>
      </c>
      <c r="K1584" t="s">
        <v>1921</v>
      </c>
      <c r="L1584">
        <v>1.204497129418661</v>
      </c>
      <c r="M1584">
        <v>9.279999999999999</v>
      </c>
      <c r="N1584">
        <v>0.6538</v>
      </c>
    </row>
    <row r="1585" spans="1:14">
      <c r="A1585" s="1" t="s">
        <v>1597</v>
      </c>
      <c r="B1585">
        <f>HYPERLINK("https://www.suredividend.com/sure-analysis-SR/","Spire Inc.")</f>
        <v>0</v>
      </c>
      <c r="C1585" t="s">
        <v>1930</v>
      </c>
      <c r="D1585">
        <v>71.68000000000001</v>
      </c>
      <c r="E1585">
        <v>0.04017857142857142</v>
      </c>
      <c r="F1585">
        <v>0.05109489051094873</v>
      </c>
      <c r="G1585">
        <v>0.05061112176150684</v>
      </c>
      <c r="H1585">
        <v>2.734235741372004</v>
      </c>
      <c r="I1585">
        <v>3766.07874</v>
      </c>
      <c r="J1585">
        <v>18.30859864112786</v>
      </c>
      <c r="K1585">
        <v>0.6922115800941783</v>
      </c>
      <c r="L1585">
        <v>0.445624896725852</v>
      </c>
      <c r="M1585">
        <v>76.95</v>
      </c>
      <c r="N1585">
        <v>59.51</v>
      </c>
    </row>
    <row r="1586" spans="1:14">
      <c r="A1586" s="1" t="s">
        <v>1598</v>
      </c>
      <c r="B1586">
        <f>HYPERLINK("https://www.suredividend.com/sure-analysis-SRCE/","1st Source Corp.")</f>
        <v>0</v>
      </c>
      <c r="C1586" t="s">
        <v>1923</v>
      </c>
      <c r="D1586">
        <v>51.9</v>
      </c>
      <c r="E1586">
        <v>0.02466281310211946</v>
      </c>
      <c r="F1586">
        <v>0.032258064516129</v>
      </c>
      <c r="G1586">
        <v>0.07781806771272581</v>
      </c>
      <c r="H1586">
        <v>1.248589295353526</v>
      </c>
      <c r="I1586">
        <v>1279.707538</v>
      </c>
      <c r="J1586">
        <v>11.01088897282786</v>
      </c>
      <c r="K1586">
        <v>0.2656572968837289</v>
      </c>
      <c r="L1586">
        <v>0.577527078062375</v>
      </c>
      <c r="M1586">
        <v>59.61</v>
      </c>
      <c r="N1586">
        <v>41.78</v>
      </c>
    </row>
    <row r="1587" spans="1:14">
      <c r="A1587" s="1" t="s">
        <v>1599</v>
      </c>
      <c r="B1587">
        <f>HYPERLINK("https://www.suredividend.com/sure-analysis-research-database/","Surmodics, Inc.")</f>
        <v>0</v>
      </c>
      <c r="C1587" t="s">
        <v>1922</v>
      </c>
      <c r="D1587">
        <v>38.07</v>
      </c>
      <c r="E1587">
        <v>0</v>
      </c>
      <c r="F1587" t="s">
        <v>1921</v>
      </c>
      <c r="G1587" t="s">
        <v>1921</v>
      </c>
      <c r="H1587">
        <v>0</v>
      </c>
      <c r="I1587">
        <v>537.774688</v>
      </c>
      <c r="J1587" t="s">
        <v>1921</v>
      </c>
      <c r="K1587">
        <v>-0</v>
      </c>
      <c r="L1587">
        <v>1.081179749559938</v>
      </c>
      <c r="M1587">
        <v>47.12</v>
      </c>
      <c r="N1587">
        <v>28.28</v>
      </c>
    </row>
    <row r="1588" spans="1:14">
      <c r="A1588" s="1" t="s">
        <v>1600</v>
      </c>
      <c r="B1588">
        <f>HYPERLINK("https://www.suredividend.com/sure-analysis-research-database/","Seritage Growth Properties")</f>
        <v>0</v>
      </c>
      <c r="C1588" t="s">
        <v>1929</v>
      </c>
      <c r="D1588">
        <v>11.89</v>
      </c>
      <c r="E1588">
        <v>0</v>
      </c>
      <c r="F1588" t="s">
        <v>1921</v>
      </c>
      <c r="G1588" t="s">
        <v>1921</v>
      </c>
      <c r="H1588">
        <v>0</v>
      </c>
      <c r="I1588">
        <v>666.22501</v>
      </c>
      <c r="J1588" t="s">
        <v>1921</v>
      </c>
      <c r="K1588">
        <v>-0</v>
      </c>
      <c r="L1588">
        <v>1.453694257974151</v>
      </c>
      <c r="M1588">
        <v>14.52</v>
      </c>
      <c r="N1588">
        <v>4.9</v>
      </c>
    </row>
    <row r="1589" spans="1:14">
      <c r="A1589" s="1" t="s">
        <v>1601</v>
      </c>
      <c r="B1589">
        <f>HYPERLINK("https://www.suredividend.com/sure-analysis-research-database/","Stoneridge Inc.")</f>
        <v>0</v>
      </c>
      <c r="C1589" t="s">
        <v>1927</v>
      </c>
      <c r="D1589">
        <v>21.96</v>
      </c>
      <c r="E1589">
        <v>0</v>
      </c>
      <c r="F1589" t="s">
        <v>1921</v>
      </c>
      <c r="G1589" t="s">
        <v>1921</v>
      </c>
      <c r="H1589">
        <v>0</v>
      </c>
      <c r="I1589">
        <v>600.091214</v>
      </c>
      <c r="J1589" t="s">
        <v>1921</v>
      </c>
      <c r="K1589">
        <v>-0</v>
      </c>
      <c r="L1589">
        <v>1.106588504987192</v>
      </c>
      <c r="M1589">
        <v>25.87</v>
      </c>
      <c r="N1589">
        <v>13.64</v>
      </c>
    </row>
    <row r="1590" spans="1:14">
      <c r="A1590" s="1" t="s">
        <v>1602</v>
      </c>
      <c r="B1590">
        <f>HYPERLINK("https://www.suredividend.com/sure-analysis-research-database/","Sorrento Therapeutics Inc")</f>
        <v>0</v>
      </c>
      <c r="C1590" t="s">
        <v>1922</v>
      </c>
      <c r="D1590">
        <v>1.03</v>
      </c>
      <c r="E1590">
        <v>0</v>
      </c>
      <c r="F1590" t="s">
        <v>1921</v>
      </c>
      <c r="G1590" t="s">
        <v>1921</v>
      </c>
      <c r="H1590">
        <v>0</v>
      </c>
      <c r="I1590">
        <v>486.036675</v>
      </c>
      <c r="J1590">
        <v>0</v>
      </c>
      <c r="K1590" t="s">
        <v>1921</v>
      </c>
      <c r="L1590">
        <v>2.320674452713231</v>
      </c>
      <c r="M1590">
        <v>4.76</v>
      </c>
      <c r="N1590">
        <v>0.736</v>
      </c>
    </row>
    <row r="1591" spans="1:14">
      <c r="A1591" s="1" t="s">
        <v>1603</v>
      </c>
      <c r="B1591">
        <f>HYPERLINK("https://www.suredividend.com/sure-analysis-research-database/","Scholar Rock Holding Corp")</f>
        <v>0</v>
      </c>
      <c r="C1591" t="s">
        <v>1922</v>
      </c>
      <c r="D1591">
        <v>9.49</v>
      </c>
      <c r="E1591">
        <v>0</v>
      </c>
      <c r="F1591" t="s">
        <v>1921</v>
      </c>
      <c r="G1591" t="s">
        <v>1921</v>
      </c>
      <c r="H1591">
        <v>0</v>
      </c>
      <c r="I1591">
        <v>490.261504</v>
      </c>
      <c r="J1591">
        <v>0</v>
      </c>
      <c r="K1591" t="s">
        <v>1921</v>
      </c>
      <c r="L1591">
        <v>1.48113891580064</v>
      </c>
      <c r="M1591">
        <v>22.93</v>
      </c>
      <c r="N1591">
        <v>4.33</v>
      </c>
    </row>
    <row r="1592" spans="1:14">
      <c r="A1592" s="1" t="s">
        <v>1604</v>
      </c>
      <c r="B1592">
        <f>HYPERLINK("https://www.suredividend.com/sure-analysis-research-database/","Startek, Inc.")</f>
        <v>0</v>
      </c>
      <c r="C1592" t="s">
        <v>1924</v>
      </c>
      <c r="D1592">
        <v>4.04</v>
      </c>
      <c r="E1592">
        <v>0</v>
      </c>
      <c r="F1592" t="s">
        <v>1921</v>
      </c>
      <c r="G1592" t="s">
        <v>1921</v>
      </c>
      <c r="H1592">
        <v>0</v>
      </c>
      <c r="I1592">
        <v>162.734129</v>
      </c>
      <c r="J1592">
        <v>21.52283150376934</v>
      </c>
      <c r="K1592">
        <v>0</v>
      </c>
      <c r="L1592">
        <v>0.5417912674429091</v>
      </c>
      <c r="M1592">
        <v>5.33</v>
      </c>
      <c r="N1592">
        <v>2.6</v>
      </c>
    </row>
    <row r="1593" spans="1:14">
      <c r="A1593" s="1" t="s">
        <v>1605</v>
      </c>
      <c r="B1593">
        <f>HYPERLINK("https://www.suredividend.com/sure-analysis-research-database/","SouthState Corporation")</f>
        <v>0</v>
      </c>
      <c r="C1593" t="s">
        <v>1923</v>
      </c>
      <c r="D1593">
        <v>79.61</v>
      </c>
      <c r="E1593">
        <v>0.024514633235194</v>
      </c>
      <c r="F1593">
        <v>0.02040816326530615</v>
      </c>
      <c r="G1593">
        <v>0.0801851873035635</v>
      </c>
      <c r="H1593">
        <v>1.951609951853814</v>
      </c>
      <c r="I1593">
        <v>6026.122736</v>
      </c>
      <c r="J1593">
        <v>13.11757631374444</v>
      </c>
      <c r="K1593">
        <v>0.3127580051047779</v>
      </c>
      <c r="L1593">
        <v>0.85727113738281</v>
      </c>
      <c r="M1593">
        <v>91.45</v>
      </c>
      <c r="N1593">
        <v>71.02</v>
      </c>
    </row>
    <row r="1594" spans="1:14">
      <c r="A1594" s="1" t="s">
        <v>1606</v>
      </c>
      <c r="B1594">
        <f>HYPERLINK("https://www.suredividend.com/sure-analysis-research-database/","Simpson Manufacturing Co., Inc.")</f>
        <v>0</v>
      </c>
      <c r="C1594" t="s">
        <v>1924</v>
      </c>
      <c r="D1594">
        <v>96.94</v>
      </c>
      <c r="E1594">
        <v>0.01057977796472</v>
      </c>
      <c r="F1594">
        <v>0.04000000000000004</v>
      </c>
      <c r="G1594">
        <v>0.04364022715043592</v>
      </c>
      <c r="H1594">
        <v>1.02560367589998</v>
      </c>
      <c r="I1594">
        <v>4129.438778</v>
      </c>
      <c r="J1594">
        <v>11.92831287629843</v>
      </c>
      <c r="K1594">
        <v>0.1280404089762772</v>
      </c>
      <c r="L1594">
        <v>1.06608241692774</v>
      </c>
      <c r="M1594">
        <v>131.3</v>
      </c>
      <c r="N1594">
        <v>75.04000000000001</v>
      </c>
    </row>
    <row r="1595" spans="1:14">
      <c r="A1595" s="1" t="s">
        <v>1607</v>
      </c>
      <c r="B1595">
        <f>HYPERLINK("https://www.suredividend.com/sure-analysis-research-database/","E.W. Scripps Co.")</f>
        <v>0</v>
      </c>
      <c r="C1595" t="s">
        <v>1931</v>
      </c>
      <c r="D1595">
        <v>13.33</v>
      </c>
      <c r="E1595">
        <v>0</v>
      </c>
      <c r="F1595" t="s">
        <v>1921</v>
      </c>
      <c r="G1595" t="s">
        <v>1921</v>
      </c>
      <c r="H1595">
        <v>0</v>
      </c>
      <c r="I1595">
        <v>953.877698</v>
      </c>
      <c r="J1595">
        <v>8.45254093991192</v>
      </c>
      <c r="K1595">
        <v>0</v>
      </c>
      <c r="L1595">
        <v>1.25579984445064</v>
      </c>
      <c r="M1595">
        <v>23.61</v>
      </c>
      <c r="N1595">
        <v>9.9</v>
      </c>
    </row>
    <row r="1596" spans="1:14">
      <c r="A1596" s="1" t="s">
        <v>1608</v>
      </c>
      <c r="B1596">
        <f>HYPERLINK("https://www.suredividend.com/sure-analysis-research-database/","ShotSpotter Inc")</f>
        <v>0</v>
      </c>
      <c r="C1596" t="s">
        <v>1920</v>
      </c>
      <c r="D1596">
        <v>32.98</v>
      </c>
      <c r="E1596">
        <v>0</v>
      </c>
      <c r="F1596" t="s">
        <v>1921</v>
      </c>
      <c r="G1596" t="s">
        <v>1921</v>
      </c>
      <c r="H1596">
        <v>0</v>
      </c>
      <c r="I1596">
        <v>402.222431</v>
      </c>
      <c r="J1596">
        <v>97.65050521971352</v>
      </c>
      <c r="K1596">
        <v>0</v>
      </c>
      <c r="L1596">
        <v>0.9259795672521111</v>
      </c>
      <c r="M1596">
        <v>39.28</v>
      </c>
      <c r="N1596">
        <v>22.63</v>
      </c>
    </row>
    <row r="1597" spans="1:14">
      <c r="A1597" s="1" t="s">
        <v>1609</v>
      </c>
      <c r="B1597">
        <f>HYPERLINK("https://www.suredividend.com/sure-analysis-research-database/","Shutterstock Inc")</f>
        <v>0</v>
      </c>
      <c r="C1597" t="s">
        <v>1931</v>
      </c>
      <c r="D1597">
        <v>56.35</v>
      </c>
      <c r="E1597">
        <v>0.016922783393453</v>
      </c>
      <c r="F1597" t="s">
        <v>1921</v>
      </c>
      <c r="G1597" t="s">
        <v>1921</v>
      </c>
      <c r="H1597">
        <v>0.9535988442211251</v>
      </c>
      <c r="I1597">
        <v>2018.178068</v>
      </c>
      <c r="J1597">
        <v>23.4827509803009</v>
      </c>
      <c r="K1597">
        <v>0.4092698902236588</v>
      </c>
      <c r="L1597">
        <v>1.306245379085297</v>
      </c>
      <c r="M1597">
        <v>99.19</v>
      </c>
      <c r="N1597">
        <v>44.4</v>
      </c>
    </row>
    <row r="1598" spans="1:14">
      <c r="A1598" s="1" t="s">
        <v>1610</v>
      </c>
      <c r="B1598">
        <f>HYPERLINK("https://www.suredividend.com/sure-analysis-research-database/","Staar Surgical Co.")</f>
        <v>0</v>
      </c>
      <c r="C1598" t="s">
        <v>1922</v>
      </c>
      <c r="D1598">
        <v>65.44</v>
      </c>
      <c r="E1598">
        <v>0</v>
      </c>
      <c r="F1598" t="s">
        <v>1921</v>
      </c>
      <c r="G1598" t="s">
        <v>1921</v>
      </c>
      <c r="H1598">
        <v>0</v>
      </c>
      <c r="I1598">
        <v>3154.620207</v>
      </c>
      <c r="J1598">
        <v>83.40260698392554</v>
      </c>
      <c r="K1598">
        <v>0</v>
      </c>
      <c r="L1598">
        <v>1.711699406017375</v>
      </c>
      <c r="M1598">
        <v>112.27</v>
      </c>
      <c r="N1598">
        <v>46.36</v>
      </c>
    </row>
    <row r="1599" spans="1:14">
      <c r="A1599" s="1" t="s">
        <v>1611</v>
      </c>
      <c r="B1599">
        <f>HYPERLINK("https://www.suredividend.com/sure-analysis-STAG/","STAG Industrial Inc")</f>
        <v>0</v>
      </c>
      <c r="C1599" t="s">
        <v>1929</v>
      </c>
      <c r="D1599">
        <v>33.39</v>
      </c>
      <c r="E1599">
        <v>0.0437256663671758</v>
      </c>
      <c r="F1599">
        <v>0</v>
      </c>
      <c r="G1599">
        <v>0.001376622202540201</v>
      </c>
      <c r="H1599">
        <v>1.429785188053549</v>
      </c>
      <c r="I1599">
        <v>5984.036798</v>
      </c>
      <c r="J1599">
        <v>25.51001295119705</v>
      </c>
      <c r="K1599">
        <v>1.083170597010264</v>
      </c>
      <c r="L1599">
        <v>0.933549681402252</v>
      </c>
      <c r="M1599">
        <v>42.96</v>
      </c>
      <c r="N1599">
        <v>26.25</v>
      </c>
    </row>
    <row r="1600" spans="1:14">
      <c r="A1600" s="1" t="s">
        <v>1612</v>
      </c>
      <c r="B1600">
        <f>HYPERLINK("https://www.suredividend.com/sure-analysis-research-database/","iStar Inc")</f>
        <v>0</v>
      </c>
      <c r="C1600" t="s">
        <v>1929</v>
      </c>
      <c r="D1600">
        <v>8.17</v>
      </c>
      <c r="E1600">
        <v>0.035651635526293</v>
      </c>
      <c r="F1600" t="s">
        <v>1921</v>
      </c>
      <c r="G1600" t="s">
        <v>1921</v>
      </c>
      <c r="H1600">
        <v>0.291273862249821</v>
      </c>
      <c r="I1600">
        <v>708.317325</v>
      </c>
      <c r="J1600">
        <v>1.440905258148249</v>
      </c>
      <c r="K1600">
        <v>0.04393270923828372</v>
      </c>
      <c r="L1600">
        <v>1.405460955376593</v>
      </c>
      <c r="M1600">
        <v>20.58</v>
      </c>
      <c r="N1600">
        <v>6.46</v>
      </c>
    </row>
    <row r="1601" spans="1:14">
      <c r="A1601" s="1" t="s">
        <v>1613</v>
      </c>
      <c r="B1601">
        <f>HYPERLINK("https://www.suredividend.com/sure-analysis-research-database/","S &amp; T Bancorp, Inc.")</f>
        <v>0</v>
      </c>
      <c r="C1601" t="s">
        <v>1923</v>
      </c>
      <c r="D1601">
        <v>33.34</v>
      </c>
      <c r="E1601">
        <v>0.035511109785536</v>
      </c>
      <c r="F1601" t="s">
        <v>1921</v>
      </c>
      <c r="G1601" t="s">
        <v>1921</v>
      </c>
      <c r="H1601">
        <v>1.18394040024979</v>
      </c>
      <c r="I1601">
        <v>1300.37819</v>
      </c>
      <c r="J1601">
        <v>11.08025042859578</v>
      </c>
      <c r="K1601">
        <v>0.3946468000832633</v>
      </c>
      <c r="L1601">
        <v>0.5709745425541111</v>
      </c>
      <c r="M1601">
        <v>38.39</v>
      </c>
      <c r="N1601">
        <v>26.03</v>
      </c>
    </row>
    <row r="1602" spans="1:14">
      <c r="A1602" s="1" t="s">
        <v>1614</v>
      </c>
      <c r="B1602">
        <f>HYPERLINK("https://www.suredividend.com/sure-analysis-research-database/","Stewart Information Services Corp.")</f>
        <v>0</v>
      </c>
      <c r="C1602" t="s">
        <v>1923</v>
      </c>
      <c r="D1602">
        <v>44.94</v>
      </c>
      <c r="E1602">
        <v>0.036233290512362</v>
      </c>
      <c r="F1602">
        <v>0.2</v>
      </c>
      <c r="G1602">
        <v>0.08447177119769855</v>
      </c>
      <c r="H1602">
        <v>1.628324075625554</v>
      </c>
      <c r="I1602">
        <v>1219.087964</v>
      </c>
      <c r="J1602">
        <v>5.198913229277279</v>
      </c>
      <c r="K1602">
        <v>0.1900028092911965</v>
      </c>
      <c r="L1602">
        <v>0.9121847863664171</v>
      </c>
      <c r="M1602">
        <v>78.2</v>
      </c>
      <c r="N1602">
        <v>35.59</v>
      </c>
    </row>
    <row r="1603" spans="1:14">
      <c r="A1603" s="1" t="s">
        <v>1615</v>
      </c>
      <c r="B1603">
        <f>HYPERLINK("https://www.suredividend.com/sure-analysis-research-database/","Stem Inc")</f>
        <v>0</v>
      </c>
      <c r="C1603" t="s">
        <v>1921</v>
      </c>
      <c r="D1603">
        <v>8.140000000000001</v>
      </c>
      <c r="E1603">
        <v>0</v>
      </c>
      <c r="F1603" t="s">
        <v>1921</v>
      </c>
      <c r="G1603" t="s">
        <v>1921</v>
      </c>
      <c r="H1603">
        <v>0</v>
      </c>
      <c r="I1603">
        <v>1257.538824</v>
      </c>
      <c r="J1603">
        <v>0</v>
      </c>
      <c r="K1603" t="s">
        <v>1921</v>
      </c>
      <c r="L1603">
        <v>2.265683344742582</v>
      </c>
      <c r="M1603">
        <v>18.02</v>
      </c>
      <c r="N1603">
        <v>5.72</v>
      </c>
    </row>
    <row r="1604" spans="1:14">
      <c r="A1604" s="1" t="s">
        <v>1616</v>
      </c>
      <c r="B1604">
        <f>HYPERLINK("https://www.suredividend.com/sure-analysis-research-database/","StepStone Group Inc")</f>
        <v>0</v>
      </c>
      <c r="C1604" t="s">
        <v>1921</v>
      </c>
      <c r="D1604">
        <v>26.37</v>
      </c>
      <c r="E1604">
        <v>0.028161138896421</v>
      </c>
      <c r="F1604" t="s">
        <v>1921</v>
      </c>
      <c r="G1604" t="s">
        <v>1921</v>
      </c>
      <c r="H1604">
        <v>0.7426092326986291</v>
      </c>
      <c r="I1604">
        <v>1636.55983</v>
      </c>
      <c r="J1604">
        <v>0</v>
      </c>
      <c r="K1604" t="s">
        <v>1921</v>
      </c>
      <c r="L1604">
        <v>1.39266533510193</v>
      </c>
      <c r="M1604">
        <v>40.13</v>
      </c>
      <c r="N1604">
        <v>21.91</v>
      </c>
    </row>
    <row r="1605" spans="1:14">
      <c r="A1605" s="1" t="s">
        <v>1617</v>
      </c>
      <c r="B1605">
        <f>HYPERLINK("https://www.suredividend.com/sure-analysis-research-database/","Sterling Check Corp")</f>
        <v>0</v>
      </c>
      <c r="C1605" t="s">
        <v>1921</v>
      </c>
      <c r="D1605">
        <v>15.42</v>
      </c>
      <c r="E1605">
        <v>0</v>
      </c>
      <c r="F1605" t="s">
        <v>1921</v>
      </c>
      <c r="G1605" t="s">
        <v>1921</v>
      </c>
      <c r="H1605">
        <v>0</v>
      </c>
      <c r="I1605">
        <v>1496.661083</v>
      </c>
      <c r="J1605">
        <v>0</v>
      </c>
      <c r="K1605" t="s">
        <v>1921</v>
      </c>
      <c r="L1605">
        <v>1.549314449327617</v>
      </c>
      <c r="M1605">
        <v>28.76</v>
      </c>
      <c r="N1605">
        <v>12.22</v>
      </c>
    </row>
    <row r="1606" spans="1:14">
      <c r="A1606" s="1" t="s">
        <v>1618</v>
      </c>
      <c r="B1606">
        <f>HYPERLINK("https://www.suredividend.com/sure-analysis-research-database/","Stagwell Inc")</f>
        <v>0</v>
      </c>
      <c r="C1606" t="s">
        <v>1921</v>
      </c>
      <c r="D1606">
        <v>6.65</v>
      </c>
      <c r="E1606">
        <v>0</v>
      </c>
      <c r="F1606" t="s">
        <v>1921</v>
      </c>
      <c r="G1606" t="s">
        <v>1921</v>
      </c>
      <c r="H1606">
        <v>0</v>
      </c>
      <c r="I1606">
        <v>869.724393</v>
      </c>
      <c r="J1606">
        <v>29.44624840702871</v>
      </c>
      <c r="K1606">
        <v>0</v>
      </c>
      <c r="L1606">
        <v>1.139199303437556</v>
      </c>
      <c r="M1606">
        <v>8.289999999999999</v>
      </c>
      <c r="N1606">
        <v>4.8</v>
      </c>
    </row>
    <row r="1607" spans="1:14">
      <c r="A1607" s="1" t="s">
        <v>1619</v>
      </c>
      <c r="B1607">
        <f>HYPERLINK("https://www.suredividend.com/sure-analysis-research-database/","Neuronetics Inc")</f>
        <v>0</v>
      </c>
      <c r="C1607" t="s">
        <v>1922</v>
      </c>
      <c r="D1607">
        <v>6.55</v>
      </c>
      <c r="E1607">
        <v>0</v>
      </c>
      <c r="F1607" t="s">
        <v>1921</v>
      </c>
      <c r="G1607" t="s">
        <v>1921</v>
      </c>
      <c r="H1607">
        <v>0</v>
      </c>
      <c r="I1607">
        <v>178.30076</v>
      </c>
      <c r="J1607">
        <v>0</v>
      </c>
      <c r="K1607" t="s">
        <v>1921</v>
      </c>
      <c r="L1607">
        <v>1.242692678398071</v>
      </c>
      <c r="M1607">
        <v>6.93</v>
      </c>
      <c r="N1607">
        <v>1.98</v>
      </c>
    </row>
    <row r="1608" spans="1:14">
      <c r="A1608" s="1" t="s">
        <v>1620</v>
      </c>
      <c r="B1608">
        <f>HYPERLINK("https://www.suredividend.com/sure-analysis-research-database/","ONE Group Hospitality Inc")</f>
        <v>0</v>
      </c>
      <c r="C1608" t="s">
        <v>1927</v>
      </c>
      <c r="D1608">
        <v>6.84</v>
      </c>
      <c r="E1608">
        <v>0</v>
      </c>
      <c r="F1608" t="s">
        <v>1921</v>
      </c>
      <c r="G1608" t="s">
        <v>1921</v>
      </c>
      <c r="H1608">
        <v>0</v>
      </c>
      <c r="I1608">
        <v>220.696047</v>
      </c>
      <c r="J1608">
        <v>0</v>
      </c>
      <c r="K1608" t="s">
        <v>1921</v>
      </c>
      <c r="L1608">
        <v>1.409242316987667</v>
      </c>
      <c r="M1608">
        <v>13.75</v>
      </c>
      <c r="N1608">
        <v>4.91</v>
      </c>
    </row>
    <row r="1609" spans="1:14">
      <c r="A1609" s="1" t="s">
        <v>1621</v>
      </c>
      <c r="B1609">
        <f>HYPERLINK("https://www.suredividend.com/sure-analysis-research-database/","Scorpio Tankers Inc")</f>
        <v>0</v>
      </c>
      <c r="C1609" t="s">
        <v>1926</v>
      </c>
      <c r="D1609">
        <v>48.86</v>
      </c>
      <c r="E1609">
        <v>0.008157713410132</v>
      </c>
      <c r="F1609">
        <v>0</v>
      </c>
      <c r="G1609">
        <v>0.5848931924611136</v>
      </c>
      <c r="H1609">
        <v>0.398585877219056</v>
      </c>
      <c r="I1609">
        <v>2851.934552</v>
      </c>
      <c r="J1609">
        <v>0</v>
      </c>
      <c r="K1609" t="s">
        <v>1921</v>
      </c>
      <c r="L1609">
        <v>0.339484281257703</v>
      </c>
      <c r="M1609">
        <v>57.71</v>
      </c>
      <c r="N1609">
        <v>10.87</v>
      </c>
    </row>
    <row r="1610" spans="1:14">
      <c r="A1610" s="1" t="s">
        <v>1622</v>
      </c>
      <c r="B1610">
        <f>HYPERLINK("https://www.suredividend.com/sure-analysis-research-database/","Stoke Therapeutics Inc")</f>
        <v>0</v>
      </c>
      <c r="C1610" t="s">
        <v>1922</v>
      </c>
      <c r="D1610">
        <v>8.27</v>
      </c>
      <c r="E1610">
        <v>0</v>
      </c>
      <c r="F1610" t="s">
        <v>1921</v>
      </c>
      <c r="G1610" t="s">
        <v>1921</v>
      </c>
      <c r="H1610">
        <v>0</v>
      </c>
      <c r="I1610">
        <v>325.997719</v>
      </c>
      <c r="J1610">
        <v>0</v>
      </c>
      <c r="K1610" t="s">
        <v>1921</v>
      </c>
      <c r="L1610">
        <v>1.440729554175978</v>
      </c>
      <c r="M1610">
        <v>26.6</v>
      </c>
      <c r="N1610">
        <v>6.88</v>
      </c>
    </row>
    <row r="1611" spans="1:14">
      <c r="A1611" s="1" t="s">
        <v>1623</v>
      </c>
      <c r="B1611">
        <f>HYPERLINK("https://www.suredividend.com/sure-analysis-research-database/","StoneMor Inc")</f>
        <v>0</v>
      </c>
      <c r="C1611" t="s">
        <v>1927</v>
      </c>
      <c r="D1611">
        <v>3.53</v>
      </c>
      <c r="E1611">
        <v>0</v>
      </c>
      <c r="F1611" t="s">
        <v>1921</v>
      </c>
      <c r="G1611" t="s">
        <v>1921</v>
      </c>
      <c r="H1611">
        <v>0</v>
      </c>
      <c r="I1611">
        <v>419.197822</v>
      </c>
      <c r="J1611" t="s">
        <v>1921</v>
      </c>
      <c r="K1611">
        <v>-0</v>
      </c>
      <c r="L1611">
        <v>0.500853988896614</v>
      </c>
      <c r="M1611">
        <v>3.54</v>
      </c>
      <c r="N1611">
        <v>2.08</v>
      </c>
    </row>
    <row r="1612" spans="1:14">
      <c r="A1612" s="1" t="s">
        <v>1624</v>
      </c>
      <c r="B1612">
        <f>HYPERLINK("https://www.suredividend.com/sure-analysis-research-database/","Strategic Education Inc")</f>
        <v>0</v>
      </c>
      <c r="C1612" t="s">
        <v>1928</v>
      </c>
      <c r="D1612">
        <v>84.88</v>
      </c>
      <c r="E1612">
        <v>0.028080238641303</v>
      </c>
      <c r="F1612">
        <v>0</v>
      </c>
      <c r="G1612">
        <v>0.1913578981670916</v>
      </c>
      <c r="H1612">
        <v>2.383450655873841</v>
      </c>
      <c r="I1612">
        <v>2075.626491</v>
      </c>
      <c r="J1612">
        <v>41.49510187801123</v>
      </c>
      <c r="K1612">
        <v>1.145889738400885</v>
      </c>
      <c r="L1612">
        <v>0.7289860652682161</v>
      </c>
      <c r="M1612">
        <v>85.88</v>
      </c>
      <c r="N1612">
        <v>46.65</v>
      </c>
    </row>
    <row r="1613" spans="1:14">
      <c r="A1613" s="1" t="s">
        <v>1625</v>
      </c>
      <c r="B1613">
        <f>HYPERLINK("https://www.suredividend.com/sure-analysis-research-database/","Sterling Infrastructure Inc")</f>
        <v>0</v>
      </c>
      <c r="C1613" t="s">
        <v>1924</v>
      </c>
      <c r="D1613">
        <v>32.19</v>
      </c>
      <c r="E1613">
        <v>0</v>
      </c>
      <c r="F1613" t="s">
        <v>1921</v>
      </c>
      <c r="G1613" t="s">
        <v>1921</v>
      </c>
      <c r="H1613">
        <v>0</v>
      </c>
      <c r="I1613">
        <v>976.311723</v>
      </c>
      <c r="J1613">
        <v>11.39965115139414</v>
      </c>
      <c r="K1613">
        <v>0</v>
      </c>
      <c r="L1613">
        <v>0.941730207871854</v>
      </c>
      <c r="M1613">
        <v>34.86</v>
      </c>
      <c r="N1613">
        <v>20.46</v>
      </c>
    </row>
    <row r="1614" spans="1:14">
      <c r="A1614" s="1" t="s">
        <v>1626</v>
      </c>
      <c r="B1614">
        <f>HYPERLINK("https://www.suredividend.com/sure-analysis-research-database/","Sutro Biopharma Inc")</f>
        <v>0</v>
      </c>
      <c r="C1614" t="s">
        <v>1922</v>
      </c>
      <c r="D1614">
        <v>8.289999999999999</v>
      </c>
      <c r="E1614">
        <v>0</v>
      </c>
      <c r="F1614" t="s">
        <v>1921</v>
      </c>
      <c r="G1614" t="s">
        <v>1921</v>
      </c>
      <c r="H1614">
        <v>0</v>
      </c>
      <c r="I1614">
        <v>476.471613</v>
      </c>
      <c r="J1614">
        <v>0</v>
      </c>
      <c r="K1614" t="s">
        <v>1921</v>
      </c>
      <c r="L1614">
        <v>1.184694433111679</v>
      </c>
      <c r="M1614">
        <v>11.25</v>
      </c>
      <c r="N1614">
        <v>3.33</v>
      </c>
    </row>
    <row r="1615" spans="1:14">
      <c r="A1615" s="1" t="s">
        <v>1627</v>
      </c>
      <c r="B1615">
        <f>HYPERLINK("https://www.suredividend.com/sure-analysis-research-database/","Shattuck Labs Inc")</f>
        <v>0</v>
      </c>
      <c r="C1615" t="s">
        <v>1921</v>
      </c>
      <c r="D1615">
        <v>2.98</v>
      </c>
      <c r="E1615">
        <v>0</v>
      </c>
      <c r="F1615" t="s">
        <v>1921</v>
      </c>
      <c r="G1615" t="s">
        <v>1921</v>
      </c>
      <c r="H1615">
        <v>0</v>
      </c>
      <c r="I1615">
        <v>126.323946</v>
      </c>
      <c r="J1615">
        <v>0</v>
      </c>
      <c r="K1615" t="s">
        <v>1921</v>
      </c>
      <c r="L1615">
        <v>1.092751944629079</v>
      </c>
      <c r="M1615">
        <v>7.75</v>
      </c>
      <c r="N1615">
        <v>1.85</v>
      </c>
    </row>
    <row r="1616" spans="1:14">
      <c r="A1616" s="1" t="s">
        <v>1628</v>
      </c>
      <c r="B1616">
        <f>HYPERLINK("https://www.suredividend.com/sure-analysis-research-database/","Stereotaxis Inc")</f>
        <v>0</v>
      </c>
      <c r="C1616" t="s">
        <v>1922</v>
      </c>
      <c r="D1616">
        <v>2.13</v>
      </c>
      <c r="E1616">
        <v>0</v>
      </c>
      <c r="F1616" t="s">
        <v>1921</v>
      </c>
      <c r="G1616" t="s">
        <v>1921</v>
      </c>
      <c r="H1616">
        <v>0</v>
      </c>
      <c r="I1616">
        <v>159.302858</v>
      </c>
      <c r="J1616" t="s">
        <v>1921</v>
      </c>
      <c r="K1616">
        <v>-0</v>
      </c>
      <c r="L1616">
        <v>1.389095857106588</v>
      </c>
      <c r="M1616">
        <v>6.2</v>
      </c>
      <c r="N1616">
        <v>1.55</v>
      </c>
    </row>
    <row r="1617" spans="1:14">
      <c r="A1617" s="1" t="s">
        <v>1629</v>
      </c>
      <c r="B1617">
        <f>HYPERLINK("https://www.suredividend.com/sure-analysis-research-database/","Summit Materials Inc")</f>
        <v>0</v>
      </c>
      <c r="C1617" t="s">
        <v>1925</v>
      </c>
      <c r="D1617">
        <v>29.69</v>
      </c>
      <c r="E1617">
        <v>0</v>
      </c>
      <c r="F1617" t="s">
        <v>1921</v>
      </c>
      <c r="G1617" t="s">
        <v>1921</v>
      </c>
      <c r="H1617">
        <v>0</v>
      </c>
      <c r="I1617">
        <v>3456.660536</v>
      </c>
      <c r="J1617">
        <v>12.07997447520164</v>
      </c>
      <c r="K1617">
        <v>0</v>
      </c>
      <c r="L1617">
        <v>1.186420195395289</v>
      </c>
      <c r="M1617">
        <v>39.1</v>
      </c>
      <c r="N1617">
        <v>21.62</v>
      </c>
    </row>
    <row r="1618" spans="1:14">
      <c r="A1618" s="1" t="s">
        <v>1630</v>
      </c>
      <c r="B1618">
        <f>HYPERLINK("https://www.suredividend.com/sure-analysis-research-database/","Sumo Logic Inc")</f>
        <v>0</v>
      </c>
      <c r="C1618" t="s">
        <v>1921</v>
      </c>
      <c r="D1618">
        <v>7.55</v>
      </c>
      <c r="E1618">
        <v>0</v>
      </c>
      <c r="F1618" t="s">
        <v>1921</v>
      </c>
      <c r="G1618" t="s">
        <v>1921</v>
      </c>
      <c r="H1618">
        <v>0</v>
      </c>
      <c r="I1618">
        <v>906.094669</v>
      </c>
      <c r="J1618">
        <v>0</v>
      </c>
      <c r="K1618" t="s">
        <v>1921</v>
      </c>
      <c r="L1618">
        <v>1.545208990794346</v>
      </c>
      <c r="M1618">
        <v>12.89</v>
      </c>
      <c r="N1618">
        <v>6.43</v>
      </c>
    </row>
    <row r="1619" spans="1:14">
      <c r="A1619" s="1" t="s">
        <v>1631</v>
      </c>
      <c r="B1619">
        <f>HYPERLINK("https://www.suredividend.com/sure-analysis-research-database/","Supernus Pharmaceuticals Inc")</f>
        <v>0</v>
      </c>
      <c r="C1619" t="s">
        <v>1922</v>
      </c>
      <c r="D1619">
        <v>38.55</v>
      </c>
      <c r="E1619">
        <v>0</v>
      </c>
      <c r="F1619" t="s">
        <v>1921</v>
      </c>
      <c r="G1619" t="s">
        <v>1921</v>
      </c>
      <c r="H1619">
        <v>0</v>
      </c>
      <c r="I1619">
        <v>2083.94122</v>
      </c>
      <c r="J1619">
        <v>55.31804045179443</v>
      </c>
      <c r="K1619">
        <v>0</v>
      </c>
      <c r="L1619">
        <v>0.6950242912061501</v>
      </c>
      <c r="M1619">
        <v>39.92</v>
      </c>
      <c r="N1619">
        <v>24.95</v>
      </c>
    </row>
    <row r="1620" spans="1:14">
      <c r="A1620" s="1" t="s">
        <v>1632</v>
      </c>
      <c r="B1620">
        <f>HYPERLINK("https://www.suredividend.com/sure-analysis-research-database/","Surface Oncology Inc")</f>
        <v>0</v>
      </c>
      <c r="C1620" t="s">
        <v>1922</v>
      </c>
      <c r="D1620">
        <v>0.9500000000000001</v>
      </c>
      <c r="E1620">
        <v>0</v>
      </c>
      <c r="F1620" t="s">
        <v>1921</v>
      </c>
      <c r="G1620" t="s">
        <v>1921</v>
      </c>
      <c r="H1620">
        <v>0</v>
      </c>
      <c r="I1620">
        <v>57.515148</v>
      </c>
      <c r="J1620">
        <v>0</v>
      </c>
      <c r="K1620" t="s">
        <v>1921</v>
      </c>
      <c r="L1620">
        <v>1.491430020309826</v>
      </c>
      <c r="M1620">
        <v>4.75</v>
      </c>
      <c r="N1620">
        <v>0.6024</v>
      </c>
    </row>
    <row r="1621" spans="1:14">
      <c r="A1621" s="1" t="s">
        <v>1633</v>
      </c>
      <c r="B1621">
        <f>HYPERLINK("https://www.suredividend.com/sure-analysis-SVC/","Service Properties Trust")</f>
        <v>0</v>
      </c>
      <c r="C1621" t="s">
        <v>1929</v>
      </c>
      <c r="D1621">
        <v>7.56</v>
      </c>
      <c r="E1621">
        <v>0.030313521555787</v>
      </c>
      <c r="F1621">
        <v>19</v>
      </c>
      <c r="G1621">
        <v>-0.1739519118078667</v>
      </c>
      <c r="H1621">
        <v>0.229170222961755</v>
      </c>
      <c r="I1621">
        <v>1250.827152</v>
      </c>
      <c r="J1621" t="s">
        <v>1921</v>
      </c>
      <c r="K1621" t="s">
        <v>1921</v>
      </c>
      <c r="L1621">
        <v>1.706236168712557</v>
      </c>
      <c r="M1621">
        <v>9.43</v>
      </c>
      <c r="N1621">
        <v>4.52</v>
      </c>
    </row>
    <row r="1622" spans="1:14">
      <c r="A1622" s="1" t="s">
        <v>1634</v>
      </c>
      <c r="B1622">
        <f>HYPERLINK("https://www.suredividend.com/sure-analysis-research-database/","ShockWave Medical Inc")</f>
        <v>0</v>
      </c>
      <c r="C1622" t="s">
        <v>1922</v>
      </c>
      <c r="D1622">
        <v>201.44</v>
      </c>
      <c r="E1622">
        <v>0</v>
      </c>
      <c r="F1622" t="s">
        <v>1921</v>
      </c>
      <c r="G1622" t="s">
        <v>1921</v>
      </c>
      <c r="H1622">
        <v>0</v>
      </c>
      <c r="I1622">
        <v>7280.5033</v>
      </c>
      <c r="J1622">
        <v>82.7076158505913</v>
      </c>
      <c r="K1622">
        <v>0</v>
      </c>
      <c r="L1622">
        <v>1.490381759446238</v>
      </c>
      <c r="M1622">
        <v>320.54</v>
      </c>
      <c r="N1622">
        <v>113.36</v>
      </c>
    </row>
    <row r="1623" spans="1:14">
      <c r="A1623" s="1" t="s">
        <v>1635</v>
      </c>
      <c r="B1623">
        <f>HYPERLINK("https://www.suredividend.com/sure-analysis-research-database/","Smith &amp; Wesson Brands Inc")</f>
        <v>0</v>
      </c>
      <c r="C1623" t="s">
        <v>1921</v>
      </c>
      <c r="D1623">
        <v>9.460000000000001</v>
      </c>
      <c r="E1623">
        <v>0.039589018652042</v>
      </c>
      <c r="F1623" t="s">
        <v>1921</v>
      </c>
      <c r="G1623" t="s">
        <v>1921</v>
      </c>
      <c r="H1623">
        <v>0.3745121164483241</v>
      </c>
      <c r="I1623">
        <v>434.1886</v>
      </c>
      <c r="J1623">
        <v>5.452096386101938</v>
      </c>
      <c r="K1623">
        <v>0.2177396025862349</v>
      </c>
      <c r="L1623">
        <v>1.089560822984735</v>
      </c>
      <c r="M1623">
        <v>17.65</v>
      </c>
      <c r="N1623">
        <v>8.210000000000001</v>
      </c>
    </row>
    <row r="1624" spans="1:14">
      <c r="A1624" s="1" t="s">
        <v>1636</v>
      </c>
      <c r="B1624">
        <f>HYPERLINK("https://www.suredividend.com/sure-analysis-research-database/","Latham Group Inc")</f>
        <v>0</v>
      </c>
      <c r="C1624" t="s">
        <v>1921</v>
      </c>
      <c r="D1624">
        <v>3.39</v>
      </c>
      <c r="E1624">
        <v>0</v>
      </c>
      <c r="F1624" t="s">
        <v>1921</v>
      </c>
      <c r="G1624" t="s">
        <v>1921</v>
      </c>
      <c r="H1624">
        <v>0</v>
      </c>
      <c r="I1624">
        <v>397.040644</v>
      </c>
      <c r="J1624">
        <v>0</v>
      </c>
      <c r="K1624" t="s">
        <v>1921</v>
      </c>
      <c r="L1624">
        <v>1.859563590511652</v>
      </c>
      <c r="M1624">
        <v>20.66</v>
      </c>
      <c r="N1624">
        <v>2.75</v>
      </c>
    </row>
    <row r="1625" spans="1:14">
      <c r="A1625" s="1" t="s">
        <v>1637</v>
      </c>
      <c r="B1625">
        <f>HYPERLINK("https://www.suredividend.com/sure-analysis-research-database/","Schweitzer-Mauduit International, Inc.")</f>
        <v>0</v>
      </c>
      <c r="C1625" t="s">
        <v>1925</v>
      </c>
      <c r="D1625">
        <v>23.41</v>
      </c>
      <c r="E1625">
        <v>0.055572781504053</v>
      </c>
      <c r="F1625" t="s">
        <v>1921</v>
      </c>
      <c r="G1625" t="s">
        <v>1921</v>
      </c>
      <c r="H1625">
        <v>1.300958815009887</v>
      </c>
      <c r="I1625">
        <v>731.768625</v>
      </c>
      <c r="J1625">
        <v>10.79304756710914</v>
      </c>
      <c r="K1625">
        <v>0.6022957476897625</v>
      </c>
      <c r="M1625">
        <v>39.33</v>
      </c>
      <c r="N1625">
        <v>22.84</v>
      </c>
    </row>
    <row r="1626" spans="1:14">
      <c r="A1626" s="1" t="s">
        <v>1638</v>
      </c>
      <c r="B1626">
        <f>HYPERLINK("https://www.suredividend.com/sure-analysis-research-database/","Southwestern Energy Company")</f>
        <v>0</v>
      </c>
      <c r="C1626" t="s">
        <v>1926</v>
      </c>
      <c r="D1626">
        <v>5.84</v>
      </c>
      <c r="E1626">
        <v>0</v>
      </c>
      <c r="F1626" t="s">
        <v>1921</v>
      </c>
      <c r="G1626" t="s">
        <v>1921</v>
      </c>
      <c r="H1626">
        <v>0</v>
      </c>
      <c r="I1626">
        <v>6507.550877</v>
      </c>
      <c r="J1626">
        <v>4.97139104421696</v>
      </c>
      <c r="K1626">
        <v>0</v>
      </c>
      <c r="L1626">
        <v>1.130088079809107</v>
      </c>
      <c r="M1626">
        <v>9.869999999999999</v>
      </c>
      <c r="N1626">
        <v>3.81</v>
      </c>
    </row>
    <row r="1627" spans="1:14">
      <c r="A1627" s="1" t="s">
        <v>1639</v>
      </c>
      <c r="B1627">
        <f>HYPERLINK("https://www.suredividend.com/sure-analysis-research-database/","SpringWorks Therapeutics Inc")</f>
        <v>0</v>
      </c>
      <c r="C1627" t="s">
        <v>1922</v>
      </c>
      <c r="D1627">
        <v>26.41</v>
      </c>
      <c r="E1627">
        <v>0</v>
      </c>
      <c r="F1627" t="s">
        <v>1921</v>
      </c>
      <c r="G1627" t="s">
        <v>1921</v>
      </c>
      <c r="H1627">
        <v>0</v>
      </c>
      <c r="I1627">
        <v>1647.515645</v>
      </c>
      <c r="J1627">
        <v>0</v>
      </c>
      <c r="K1627" t="s">
        <v>1921</v>
      </c>
      <c r="L1627">
        <v>1.351401623788799</v>
      </c>
      <c r="M1627">
        <v>65.92</v>
      </c>
      <c r="N1627">
        <v>13.6</v>
      </c>
    </row>
    <row r="1628" spans="1:14">
      <c r="A1628" s="1" t="s">
        <v>1640</v>
      </c>
      <c r="B1628">
        <f>HYPERLINK("https://www.suredividend.com/sure-analysis-SWX/","Southwest Gas Holdings Inc")</f>
        <v>0</v>
      </c>
      <c r="C1628" t="s">
        <v>1930</v>
      </c>
      <c r="D1628">
        <v>64.83</v>
      </c>
      <c r="E1628">
        <v>0.0382538948017893</v>
      </c>
      <c r="F1628">
        <v>0.04201680672268915</v>
      </c>
      <c r="G1628">
        <v>0.04606169223332812</v>
      </c>
      <c r="H1628">
        <v>2.424063757432396</v>
      </c>
      <c r="I1628">
        <v>4348.0069</v>
      </c>
      <c r="J1628">
        <v>29.53066756494632</v>
      </c>
      <c r="K1628">
        <v>1.053940764101042</v>
      </c>
      <c r="L1628">
        <v>0.388757566887569</v>
      </c>
      <c r="M1628">
        <v>93.95</v>
      </c>
      <c r="N1628">
        <v>59.51</v>
      </c>
    </row>
    <row r="1629" spans="1:14">
      <c r="A1629" s="1" t="s">
        <v>1641</v>
      </c>
      <c r="B1629">
        <f>HYPERLINK("https://www.suredividend.com/sure-analysis-research-database/","SunCoke Energy Inc")</f>
        <v>0</v>
      </c>
      <c r="C1629" t="s">
        <v>1925</v>
      </c>
      <c r="D1629">
        <v>8.68</v>
      </c>
      <c r="E1629">
        <v>0.031827406422897</v>
      </c>
      <c r="F1629" t="s">
        <v>1921</v>
      </c>
      <c r="G1629" t="s">
        <v>1921</v>
      </c>
      <c r="H1629">
        <v>0.27626188775075</v>
      </c>
      <c r="I1629">
        <v>723.932077</v>
      </c>
      <c r="J1629">
        <v>7.125315716929133</v>
      </c>
      <c r="K1629">
        <v>0.2302182397922917</v>
      </c>
      <c r="L1629">
        <v>0.8467982915712891</v>
      </c>
      <c r="M1629">
        <v>9.539999999999999</v>
      </c>
      <c r="N1629">
        <v>5.66</v>
      </c>
    </row>
    <row r="1630" spans="1:14">
      <c r="A1630" s="1" t="s">
        <v>1642</v>
      </c>
      <c r="B1630">
        <f>HYPERLINK("https://www.suredividend.com/sure-analysis-SXI/","Standex International Corp.")</f>
        <v>0</v>
      </c>
      <c r="C1630" t="s">
        <v>1924</v>
      </c>
      <c r="D1630">
        <v>104.11</v>
      </c>
      <c r="E1630">
        <v>0.01075785227163577</v>
      </c>
      <c r="F1630">
        <v>0.07692307692307709</v>
      </c>
      <c r="G1630">
        <v>0.09238846414037316</v>
      </c>
      <c r="H1630">
        <v>1.05571610511886</v>
      </c>
      <c r="I1630">
        <v>1247.883698</v>
      </c>
      <c r="J1630">
        <v>19.54551959339024</v>
      </c>
      <c r="K1630">
        <v>0.1995682618372136</v>
      </c>
      <c r="L1630">
        <v>0.8072422786952661</v>
      </c>
      <c r="M1630">
        <v>109.52</v>
      </c>
      <c r="N1630">
        <v>78.58</v>
      </c>
    </row>
    <row r="1631" spans="1:14">
      <c r="A1631" s="1" t="s">
        <v>1643</v>
      </c>
      <c r="B1631">
        <f>HYPERLINK("https://www.suredividend.com/sure-analysis-SXT/","Sensient Technologies Corp.")</f>
        <v>0</v>
      </c>
      <c r="C1631" t="s">
        <v>1925</v>
      </c>
      <c r="D1631">
        <v>74.08</v>
      </c>
      <c r="E1631">
        <v>0.02213822894168466</v>
      </c>
      <c r="F1631">
        <v>0</v>
      </c>
      <c r="G1631">
        <v>0.04436902690230249</v>
      </c>
      <c r="H1631">
        <v>1.626682375610863</v>
      </c>
      <c r="I1631">
        <v>3114.151705</v>
      </c>
      <c r="J1631">
        <v>22.4047750264398</v>
      </c>
      <c r="K1631">
        <v>0.4944323330124203</v>
      </c>
      <c r="L1631">
        <v>0.8683329847598791</v>
      </c>
      <c r="M1631">
        <v>94.59999999999999</v>
      </c>
      <c r="N1631">
        <v>62.78</v>
      </c>
    </row>
    <row r="1632" spans="1:14">
      <c r="A1632" s="1" t="s">
        <v>1644</v>
      </c>
      <c r="B1632">
        <f>HYPERLINK("https://www.suredividend.com/sure-analysis-research-database/","Stock Yards Bancorp Inc")</f>
        <v>0</v>
      </c>
      <c r="C1632" t="s">
        <v>1923</v>
      </c>
      <c r="D1632">
        <v>62.38</v>
      </c>
      <c r="E1632">
        <v>0.018154898452476</v>
      </c>
      <c r="F1632">
        <v>0.03571428571428559</v>
      </c>
      <c r="G1632">
        <v>0.04745176373283</v>
      </c>
      <c r="H1632">
        <v>1.132502565465457</v>
      </c>
      <c r="I1632">
        <v>1825.11903</v>
      </c>
      <c r="J1632">
        <v>20.80049952589351</v>
      </c>
      <c r="K1632">
        <v>0.3641487348763527</v>
      </c>
      <c r="L1632">
        <v>0.4944012757295</v>
      </c>
      <c r="M1632">
        <v>78.36</v>
      </c>
      <c r="N1632">
        <v>49.89</v>
      </c>
    </row>
    <row r="1633" spans="1:14">
      <c r="A1633" s="1" t="s">
        <v>1645</v>
      </c>
      <c r="B1633">
        <f>HYPERLINK("https://www.suredividend.com/sure-analysis-research-database/","Synaptics Inc")</f>
        <v>0</v>
      </c>
      <c r="C1633" t="s">
        <v>1920</v>
      </c>
      <c r="D1633">
        <v>102.29</v>
      </c>
      <c r="E1633">
        <v>0</v>
      </c>
      <c r="F1633" t="s">
        <v>1921</v>
      </c>
      <c r="G1633" t="s">
        <v>1921</v>
      </c>
      <c r="H1633">
        <v>0</v>
      </c>
      <c r="I1633">
        <v>4078.401624</v>
      </c>
      <c r="J1633">
        <v>14.46754744090103</v>
      </c>
      <c r="K1633">
        <v>0</v>
      </c>
      <c r="L1633">
        <v>2.169084214653145</v>
      </c>
      <c r="M1633">
        <v>257.87</v>
      </c>
      <c r="N1633">
        <v>81.13</v>
      </c>
    </row>
    <row r="1634" spans="1:14">
      <c r="A1634" s="1" t="s">
        <v>1646</v>
      </c>
      <c r="B1634">
        <f>HYPERLINK("https://www.suredividend.com/sure-analysis-research-database/","Syros Pharmaceuticals Inc.")</f>
        <v>0</v>
      </c>
      <c r="C1634" t="s">
        <v>1922</v>
      </c>
      <c r="D1634">
        <v>3.5</v>
      </c>
      <c r="E1634">
        <v>0</v>
      </c>
      <c r="F1634" t="s">
        <v>1921</v>
      </c>
      <c r="G1634" t="s">
        <v>1921</v>
      </c>
      <c r="H1634">
        <v>0</v>
      </c>
      <c r="I1634">
        <v>22.051852</v>
      </c>
      <c r="J1634" t="s">
        <v>1921</v>
      </c>
      <c r="K1634">
        <v>-0</v>
      </c>
      <c r="L1634">
        <v>1.294588050470623</v>
      </c>
      <c r="M1634">
        <v>33.8</v>
      </c>
      <c r="N1634">
        <v>3.02</v>
      </c>
    </row>
    <row r="1635" spans="1:14">
      <c r="A1635" s="1" t="s">
        <v>1647</v>
      </c>
      <c r="B1635">
        <f>HYPERLINK("https://www.suredividend.com/sure-analysis-research-database/","TravelCenters of America Inc")</f>
        <v>0</v>
      </c>
      <c r="C1635" t="s">
        <v>1927</v>
      </c>
      <c r="D1635">
        <v>46.05</v>
      </c>
      <c r="E1635">
        <v>0</v>
      </c>
      <c r="F1635" t="s">
        <v>1921</v>
      </c>
      <c r="G1635" t="s">
        <v>1921</v>
      </c>
      <c r="H1635">
        <v>0</v>
      </c>
      <c r="I1635">
        <v>684.007958</v>
      </c>
      <c r="J1635">
        <v>0</v>
      </c>
      <c r="K1635" t="s">
        <v>1921</v>
      </c>
      <c r="L1635">
        <v>1.372464390114963</v>
      </c>
      <c r="M1635">
        <v>65.33</v>
      </c>
      <c r="N1635">
        <v>31.19</v>
      </c>
    </row>
    <row r="1636" spans="1:14">
      <c r="A1636" s="1" t="s">
        <v>1648</v>
      </c>
      <c r="B1636">
        <f>HYPERLINK("https://www.suredividend.com/sure-analysis-research-database/","Talos Energy Inc")</f>
        <v>0</v>
      </c>
      <c r="C1636" t="s">
        <v>1926</v>
      </c>
      <c r="D1636">
        <v>18.74</v>
      </c>
      <c r="E1636">
        <v>0</v>
      </c>
      <c r="F1636" t="s">
        <v>1921</v>
      </c>
      <c r="G1636" t="s">
        <v>1921</v>
      </c>
      <c r="H1636">
        <v>0</v>
      </c>
      <c r="I1636">
        <v>1547.367947</v>
      </c>
      <c r="J1636">
        <v>3.36254951186174</v>
      </c>
      <c r="K1636">
        <v>0</v>
      </c>
      <c r="L1636">
        <v>0.9521208649982691</v>
      </c>
      <c r="M1636">
        <v>25.49</v>
      </c>
      <c r="N1636">
        <v>9.08</v>
      </c>
    </row>
    <row r="1637" spans="1:14">
      <c r="A1637" s="1" t="s">
        <v>1649</v>
      </c>
      <c r="B1637">
        <f>HYPERLINK("https://www.suredividend.com/sure-analysis-research-database/","Talaris Therapeutics Inc")</f>
        <v>0</v>
      </c>
      <c r="C1637" t="s">
        <v>1921</v>
      </c>
      <c r="D1637">
        <v>1.16</v>
      </c>
      <c r="E1637">
        <v>0</v>
      </c>
      <c r="F1637" t="s">
        <v>1921</v>
      </c>
      <c r="G1637" t="s">
        <v>1921</v>
      </c>
      <c r="H1637">
        <v>0</v>
      </c>
      <c r="I1637">
        <v>48.398199</v>
      </c>
      <c r="J1637">
        <v>0</v>
      </c>
      <c r="K1637" t="s">
        <v>1921</v>
      </c>
      <c r="L1637">
        <v>1.326199234905248</v>
      </c>
      <c r="M1637">
        <v>13.45</v>
      </c>
      <c r="N1637">
        <v>0.89</v>
      </c>
    </row>
    <row r="1638" spans="1:14">
      <c r="A1638" s="1" t="s">
        <v>1650</v>
      </c>
      <c r="B1638">
        <f>HYPERLINK("https://www.suredividend.com/sure-analysis-research-database/","Tarsus Pharmaceuticals Inc")</f>
        <v>0</v>
      </c>
      <c r="C1638" t="s">
        <v>1921</v>
      </c>
      <c r="D1638">
        <v>14.79</v>
      </c>
      <c r="E1638">
        <v>0</v>
      </c>
      <c r="F1638" t="s">
        <v>1921</v>
      </c>
      <c r="G1638" t="s">
        <v>1921</v>
      </c>
      <c r="H1638">
        <v>0</v>
      </c>
      <c r="I1638">
        <v>394.481661</v>
      </c>
      <c r="J1638">
        <v>0</v>
      </c>
      <c r="K1638" t="s">
        <v>1921</v>
      </c>
      <c r="L1638">
        <v>0.9326920435636961</v>
      </c>
      <c r="M1638">
        <v>22.96</v>
      </c>
      <c r="N1638">
        <v>10.8</v>
      </c>
    </row>
    <row r="1639" spans="1:14">
      <c r="A1639" s="1" t="s">
        <v>1651</v>
      </c>
      <c r="B1639">
        <f>HYPERLINK("https://www.suredividend.com/sure-analysis-research-database/","Carrols Restaurant Group Inc.")</f>
        <v>0</v>
      </c>
      <c r="C1639" t="s">
        <v>1927</v>
      </c>
      <c r="D1639">
        <v>1.64</v>
      </c>
      <c r="E1639">
        <v>0</v>
      </c>
      <c r="F1639" t="s">
        <v>1921</v>
      </c>
      <c r="G1639" t="s">
        <v>1921</v>
      </c>
      <c r="H1639">
        <v>0</v>
      </c>
      <c r="I1639">
        <v>87.368166</v>
      </c>
      <c r="J1639" t="s">
        <v>1921</v>
      </c>
      <c r="K1639">
        <v>-0</v>
      </c>
      <c r="L1639">
        <v>1.253607683387744</v>
      </c>
      <c r="M1639">
        <v>3.01</v>
      </c>
      <c r="N1639">
        <v>1.28</v>
      </c>
    </row>
    <row r="1640" spans="1:14">
      <c r="A1640" s="1" t="s">
        <v>1652</v>
      </c>
      <c r="B1640">
        <f>HYPERLINK("https://www.suredividend.com/sure-analysis-research-database/","Bancorp Inc. (The)")</f>
        <v>0</v>
      </c>
      <c r="C1640" t="s">
        <v>1923</v>
      </c>
      <c r="D1640">
        <v>28.98</v>
      </c>
      <c r="E1640">
        <v>0</v>
      </c>
      <c r="F1640" t="s">
        <v>1921</v>
      </c>
      <c r="G1640" t="s">
        <v>1921</v>
      </c>
      <c r="H1640">
        <v>0</v>
      </c>
      <c r="I1640">
        <v>1622.345609</v>
      </c>
      <c r="J1640">
        <v>13.87046962142198</v>
      </c>
      <c r="K1640">
        <v>0</v>
      </c>
      <c r="L1640">
        <v>1.308172995283782</v>
      </c>
      <c r="M1640">
        <v>32.69</v>
      </c>
      <c r="N1640">
        <v>16.59</v>
      </c>
    </row>
    <row r="1641" spans="1:14">
      <c r="A1641" s="1" t="s">
        <v>1653</v>
      </c>
      <c r="B1641">
        <f>HYPERLINK("https://www.suredividend.com/sure-analysis-research-database/","TrueBlue Inc")</f>
        <v>0</v>
      </c>
      <c r="C1641" t="s">
        <v>1924</v>
      </c>
      <c r="D1641">
        <v>19.8</v>
      </c>
      <c r="E1641">
        <v>0</v>
      </c>
      <c r="F1641" t="s">
        <v>1921</v>
      </c>
      <c r="G1641" t="s">
        <v>1921</v>
      </c>
      <c r="H1641">
        <v>0</v>
      </c>
      <c r="I1641">
        <v>647.829072</v>
      </c>
      <c r="J1641">
        <v>8.587569553805775</v>
      </c>
      <c r="K1641">
        <v>0</v>
      </c>
      <c r="L1641">
        <v>0.9180039586792811</v>
      </c>
      <c r="M1641">
        <v>30.32</v>
      </c>
      <c r="N1641">
        <v>15.77</v>
      </c>
    </row>
    <row r="1642" spans="1:14">
      <c r="A1642" s="1" t="s">
        <v>1654</v>
      </c>
      <c r="B1642">
        <f>HYPERLINK("https://www.suredividend.com/sure-analysis-research-database/","Triumph Bancorp Inc")</f>
        <v>0</v>
      </c>
      <c r="C1642" t="s">
        <v>1923</v>
      </c>
      <c r="D1642">
        <v>60.85</v>
      </c>
      <c r="E1642">
        <v>0</v>
      </c>
      <c r="F1642" t="s">
        <v>1921</v>
      </c>
      <c r="G1642" t="s">
        <v>1921</v>
      </c>
      <c r="H1642">
        <v>0</v>
      </c>
      <c r="I1642">
        <v>1488.679794</v>
      </c>
      <c r="J1642">
        <v>0</v>
      </c>
      <c r="K1642">
        <v>0</v>
      </c>
      <c r="L1642">
        <v>1.347137145718738</v>
      </c>
    </row>
    <row r="1643" spans="1:14">
      <c r="A1643" s="1" t="s">
        <v>1655</v>
      </c>
      <c r="B1643">
        <f>HYPERLINK("https://www.suredividend.com/sure-analysis-research-database/","Theravance Biopharma Inc")</f>
        <v>0</v>
      </c>
      <c r="C1643" t="s">
        <v>1922</v>
      </c>
      <c r="D1643">
        <v>10.42</v>
      </c>
      <c r="E1643">
        <v>0</v>
      </c>
      <c r="F1643" t="s">
        <v>1921</v>
      </c>
      <c r="G1643" t="s">
        <v>1921</v>
      </c>
      <c r="H1643">
        <v>0</v>
      </c>
      <c r="I1643">
        <v>701.952803</v>
      </c>
      <c r="J1643">
        <v>0</v>
      </c>
      <c r="K1643" t="s">
        <v>1921</v>
      </c>
      <c r="L1643">
        <v>0.712351749815605</v>
      </c>
      <c r="M1643">
        <v>13.15</v>
      </c>
      <c r="N1643">
        <v>7.53</v>
      </c>
    </row>
    <row r="1644" spans="1:14">
      <c r="A1644" s="1" t="s">
        <v>1656</v>
      </c>
      <c r="B1644">
        <f>HYPERLINK("https://www.suredividend.com/sure-analysis-research-database/","Texas Capital Bancshares, Inc.")</f>
        <v>0</v>
      </c>
      <c r="C1644" t="s">
        <v>1923</v>
      </c>
      <c r="D1644">
        <v>60.77</v>
      </c>
      <c r="E1644">
        <v>0</v>
      </c>
      <c r="F1644" t="s">
        <v>1921</v>
      </c>
      <c r="G1644" t="s">
        <v>1921</v>
      </c>
      <c r="H1644">
        <v>0</v>
      </c>
      <c r="I1644">
        <v>3032.375052</v>
      </c>
      <c r="J1644">
        <v>18.5914377918041</v>
      </c>
      <c r="K1644">
        <v>0</v>
      </c>
      <c r="L1644">
        <v>0.9586070169203931</v>
      </c>
      <c r="M1644">
        <v>71.59999999999999</v>
      </c>
      <c r="N1644">
        <v>48.79</v>
      </c>
    </row>
    <row r="1645" spans="1:14">
      <c r="A1645" s="1" t="s">
        <v>1657</v>
      </c>
      <c r="B1645">
        <f>HYPERLINK("https://www.suredividend.com/sure-analysis-research-database/","Trico Bancshares")</f>
        <v>0</v>
      </c>
      <c r="C1645" t="s">
        <v>1923</v>
      </c>
      <c r="D1645">
        <v>48.8</v>
      </c>
      <c r="E1645">
        <v>0.022352062517168</v>
      </c>
      <c r="F1645">
        <v>0.2000000000000002</v>
      </c>
      <c r="G1645">
        <v>0.1203003371416174</v>
      </c>
      <c r="H1645">
        <v>1.090780650837842</v>
      </c>
      <c r="I1645">
        <v>1626.366823</v>
      </c>
      <c r="J1645">
        <v>13.86525621238214</v>
      </c>
      <c r="K1645">
        <v>0.2956045124221794</v>
      </c>
      <c r="L1645">
        <v>0.546584888622343</v>
      </c>
      <c r="M1645">
        <v>58.28</v>
      </c>
      <c r="N1645">
        <v>36.75</v>
      </c>
    </row>
    <row r="1646" spans="1:14">
      <c r="A1646" s="1" t="s">
        <v>1658</v>
      </c>
      <c r="B1646">
        <f>HYPERLINK("https://www.suredividend.com/sure-analysis-research-database/","Third Coast Bancshares Inc")</f>
        <v>0</v>
      </c>
      <c r="C1646" t="s">
        <v>1921</v>
      </c>
      <c r="D1646">
        <v>18.61</v>
      </c>
      <c r="E1646">
        <v>0</v>
      </c>
      <c r="F1646" t="s">
        <v>1921</v>
      </c>
      <c r="G1646" t="s">
        <v>1921</v>
      </c>
      <c r="H1646">
        <v>0</v>
      </c>
      <c r="I1646">
        <v>251.825607</v>
      </c>
      <c r="J1646">
        <v>0</v>
      </c>
      <c r="K1646" t="s">
        <v>1921</v>
      </c>
      <c r="L1646">
        <v>0.514151482791758</v>
      </c>
      <c r="M1646">
        <v>26.75</v>
      </c>
      <c r="N1646">
        <v>16.35</v>
      </c>
    </row>
    <row r="1647" spans="1:14">
      <c r="A1647" s="1" t="s">
        <v>1659</v>
      </c>
      <c r="B1647">
        <f>HYPERLINK("https://www.suredividend.com/sure-analysis-research-database/","Tactile Systems Technology Inc")</f>
        <v>0</v>
      </c>
      <c r="C1647" t="s">
        <v>1922</v>
      </c>
      <c r="D1647">
        <v>12.28</v>
      </c>
      <c r="E1647">
        <v>0</v>
      </c>
      <c r="F1647" t="s">
        <v>1921</v>
      </c>
      <c r="G1647" t="s">
        <v>1921</v>
      </c>
      <c r="H1647">
        <v>0</v>
      </c>
      <c r="I1647">
        <v>247.499753</v>
      </c>
      <c r="J1647" t="s">
        <v>1921</v>
      </c>
      <c r="K1647">
        <v>-0</v>
      </c>
      <c r="L1647">
        <v>1.361245976297608</v>
      </c>
      <c r="M1647">
        <v>21.62</v>
      </c>
      <c r="N1647">
        <v>6.28</v>
      </c>
    </row>
    <row r="1648" spans="1:14">
      <c r="A1648" s="1" t="s">
        <v>1660</v>
      </c>
      <c r="B1648">
        <f>HYPERLINK("https://www.suredividend.com/sure-analysis-research-database/","Tcr2 Therapeutics Inc")</f>
        <v>0</v>
      </c>
      <c r="C1648" t="s">
        <v>1922</v>
      </c>
      <c r="D1648">
        <v>1.19</v>
      </c>
      <c r="E1648">
        <v>0</v>
      </c>
      <c r="F1648" t="s">
        <v>1921</v>
      </c>
      <c r="G1648" t="s">
        <v>1921</v>
      </c>
      <c r="H1648">
        <v>0</v>
      </c>
      <c r="I1648">
        <v>46.001903</v>
      </c>
      <c r="J1648">
        <v>0</v>
      </c>
      <c r="K1648" t="s">
        <v>1921</v>
      </c>
      <c r="L1648">
        <v>1.149539854344693</v>
      </c>
      <c r="M1648">
        <v>4.23</v>
      </c>
      <c r="N1648">
        <v>0.8210000000000001</v>
      </c>
    </row>
    <row r="1649" spans="1:14">
      <c r="A1649" s="1" t="s">
        <v>1661</v>
      </c>
      <c r="B1649">
        <f>HYPERLINK("https://www.suredividend.com/sure-analysis-research-database/","Alaunos Therapeutics Inc")</f>
        <v>0</v>
      </c>
      <c r="C1649" t="s">
        <v>1921</v>
      </c>
      <c r="D1649">
        <v>0.7492000000000001</v>
      </c>
      <c r="E1649">
        <v>0</v>
      </c>
      <c r="F1649" t="s">
        <v>1921</v>
      </c>
      <c r="G1649" t="s">
        <v>1921</v>
      </c>
      <c r="H1649">
        <v>0</v>
      </c>
      <c r="I1649">
        <v>161.963586</v>
      </c>
      <c r="J1649">
        <v>0</v>
      </c>
      <c r="K1649" t="s">
        <v>1921</v>
      </c>
      <c r="L1649">
        <v>1.86686469860542</v>
      </c>
      <c r="M1649">
        <v>4.01</v>
      </c>
      <c r="N1649">
        <v>0.4053</v>
      </c>
    </row>
    <row r="1650" spans="1:14">
      <c r="A1650" s="1" t="s">
        <v>1662</v>
      </c>
      <c r="B1650">
        <f>HYPERLINK("https://www.suredividend.com/sure-analysis-research-database/","Container Store Group Inc")</f>
        <v>0</v>
      </c>
      <c r="C1650" t="s">
        <v>1927</v>
      </c>
      <c r="D1650">
        <v>4.83</v>
      </c>
      <c r="E1650">
        <v>0</v>
      </c>
      <c r="F1650" t="s">
        <v>1921</v>
      </c>
      <c r="G1650" t="s">
        <v>1921</v>
      </c>
      <c r="H1650">
        <v>0</v>
      </c>
      <c r="I1650">
        <v>244.536408</v>
      </c>
      <c r="J1650">
        <v>3.876791992009765</v>
      </c>
      <c r="K1650">
        <v>0</v>
      </c>
      <c r="L1650">
        <v>1.031707898991308</v>
      </c>
      <c r="M1650">
        <v>11.1</v>
      </c>
      <c r="N1650">
        <v>3.89</v>
      </c>
    </row>
    <row r="1651" spans="1:14">
      <c r="A1651" s="1" t="s">
        <v>1663</v>
      </c>
      <c r="B1651">
        <f>HYPERLINK("https://www.suredividend.com/sure-analysis-research-database/","Tucows, Inc.")</f>
        <v>0</v>
      </c>
      <c r="C1651" t="s">
        <v>1920</v>
      </c>
      <c r="D1651">
        <v>36.95</v>
      </c>
      <c r="E1651">
        <v>0</v>
      </c>
      <c r="F1651" t="s">
        <v>1921</v>
      </c>
      <c r="G1651" t="s">
        <v>1921</v>
      </c>
      <c r="H1651">
        <v>0</v>
      </c>
      <c r="I1651">
        <v>398.815761</v>
      </c>
      <c r="J1651" t="s">
        <v>1921</v>
      </c>
      <c r="K1651">
        <v>-0</v>
      </c>
      <c r="L1651">
        <v>1.097502673365026</v>
      </c>
      <c r="M1651">
        <v>82.33</v>
      </c>
      <c r="N1651">
        <v>28.01</v>
      </c>
    </row>
    <row r="1652" spans="1:14">
      <c r="A1652" s="1" t="s">
        <v>1664</v>
      </c>
      <c r="B1652">
        <f>HYPERLINK("https://www.suredividend.com/sure-analysis-TDS/","Telephone And Data Systems, Inc.")</f>
        <v>0</v>
      </c>
      <c r="C1652" t="s">
        <v>1931</v>
      </c>
      <c r="D1652">
        <v>11.53</v>
      </c>
      <c r="E1652">
        <v>0.0624457935819601</v>
      </c>
      <c r="F1652">
        <v>0.02857142857142847</v>
      </c>
      <c r="G1652">
        <v>0.02383625553960966</v>
      </c>
      <c r="H1652">
        <v>0.7047005267306821</v>
      </c>
      <c r="I1652">
        <v>1224.276154</v>
      </c>
      <c r="J1652">
        <v>24.98522763265306</v>
      </c>
      <c r="K1652">
        <v>1.661245937601796</v>
      </c>
      <c r="L1652">
        <v>0.4809200301689721</v>
      </c>
      <c r="M1652">
        <v>20.17</v>
      </c>
      <c r="N1652">
        <v>9.49</v>
      </c>
    </row>
    <row r="1653" spans="1:14">
      <c r="A1653" s="1" t="s">
        <v>1665</v>
      </c>
      <c r="B1653">
        <f>HYPERLINK("https://www.suredividend.com/sure-analysis-research-database/","Tidewater Inc.")</f>
        <v>0</v>
      </c>
      <c r="C1653" t="s">
        <v>1926</v>
      </c>
      <c r="D1653">
        <v>37.28</v>
      </c>
      <c r="E1653">
        <v>0</v>
      </c>
      <c r="F1653" t="s">
        <v>1921</v>
      </c>
      <c r="G1653" t="s">
        <v>1921</v>
      </c>
      <c r="H1653">
        <v>0</v>
      </c>
      <c r="I1653">
        <v>1733.730334</v>
      </c>
      <c r="J1653" t="s">
        <v>1921</v>
      </c>
      <c r="K1653">
        <v>-0</v>
      </c>
      <c r="L1653">
        <v>0.5745897129945741</v>
      </c>
      <c r="M1653">
        <v>39.38</v>
      </c>
      <c r="N1653">
        <v>11.67</v>
      </c>
    </row>
    <row r="1654" spans="1:14">
      <c r="A1654" s="1" t="s">
        <v>1666</v>
      </c>
      <c r="B1654">
        <f>HYPERLINK("https://www.suredividend.com/sure-analysis-research-database/","Tellurian Inc")</f>
        <v>0</v>
      </c>
      <c r="C1654" t="s">
        <v>1926</v>
      </c>
      <c r="D1654">
        <v>1.86</v>
      </c>
      <c r="E1654">
        <v>0</v>
      </c>
      <c r="F1654" t="s">
        <v>1921</v>
      </c>
      <c r="G1654" t="s">
        <v>1921</v>
      </c>
      <c r="H1654">
        <v>0</v>
      </c>
      <c r="I1654">
        <v>1050.560676</v>
      </c>
      <c r="J1654" t="s">
        <v>1921</v>
      </c>
      <c r="K1654">
        <v>-0</v>
      </c>
      <c r="L1654">
        <v>1.516458072328267</v>
      </c>
      <c r="M1654">
        <v>6.54</v>
      </c>
      <c r="N1654">
        <v>1.54</v>
      </c>
    </row>
    <row r="1655" spans="1:14">
      <c r="A1655" s="1" t="s">
        <v>1667</v>
      </c>
      <c r="B1655">
        <f>HYPERLINK("https://www.suredividend.com/sure-analysis-research-database/","Tenneco, Inc.")</f>
        <v>0</v>
      </c>
      <c r="C1655" t="s">
        <v>1927</v>
      </c>
      <c r="D1655">
        <v>19.99</v>
      </c>
      <c r="E1655">
        <v>0</v>
      </c>
      <c r="F1655" t="s">
        <v>1921</v>
      </c>
      <c r="G1655" t="s">
        <v>1921</v>
      </c>
      <c r="H1655">
        <v>0</v>
      </c>
      <c r="I1655">
        <v>1669.011637</v>
      </c>
      <c r="J1655" t="s">
        <v>1921</v>
      </c>
      <c r="K1655">
        <v>-0</v>
      </c>
      <c r="L1655">
        <v>0.32889335868289</v>
      </c>
      <c r="M1655">
        <v>19.99</v>
      </c>
      <c r="N1655">
        <v>9.51</v>
      </c>
    </row>
    <row r="1656" spans="1:14">
      <c r="A1656" s="1" t="s">
        <v>1668</v>
      </c>
      <c r="B1656">
        <f>HYPERLINK("https://www.suredividend.com/sure-analysis-research-database/","Tenable Holdings Inc")</f>
        <v>0</v>
      </c>
      <c r="C1656" t="s">
        <v>1920</v>
      </c>
      <c r="D1656">
        <v>37.33</v>
      </c>
      <c r="E1656">
        <v>0</v>
      </c>
      <c r="F1656" t="s">
        <v>1921</v>
      </c>
      <c r="G1656" t="s">
        <v>1921</v>
      </c>
      <c r="H1656">
        <v>0</v>
      </c>
      <c r="I1656">
        <v>4200.15139</v>
      </c>
      <c r="J1656" t="s">
        <v>1921</v>
      </c>
      <c r="K1656">
        <v>-0</v>
      </c>
      <c r="L1656">
        <v>1.366114329902874</v>
      </c>
      <c r="M1656">
        <v>63.61</v>
      </c>
      <c r="N1656">
        <v>28.8</v>
      </c>
    </row>
    <row r="1657" spans="1:14">
      <c r="A1657" s="1" t="s">
        <v>1669</v>
      </c>
      <c r="B1657">
        <f>HYPERLINK("https://www.suredividend.com/sure-analysis-research-database/","Terns Pharmaceuticals Inc")</f>
        <v>0</v>
      </c>
      <c r="C1657" t="s">
        <v>1921</v>
      </c>
      <c r="D1657">
        <v>9.289999999999999</v>
      </c>
      <c r="E1657">
        <v>0</v>
      </c>
      <c r="F1657" t="s">
        <v>1921</v>
      </c>
      <c r="G1657" t="s">
        <v>1921</v>
      </c>
      <c r="H1657">
        <v>0</v>
      </c>
      <c r="I1657">
        <v>460.006696</v>
      </c>
      <c r="J1657">
        <v>0</v>
      </c>
      <c r="K1657" t="s">
        <v>1921</v>
      </c>
      <c r="L1657">
        <v>0.8329775652515691</v>
      </c>
      <c r="M1657">
        <v>10.67</v>
      </c>
      <c r="N1657">
        <v>1.45</v>
      </c>
    </row>
    <row r="1658" spans="1:14">
      <c r="A1658" s="1" t="s">
        <v>1670</v>
      </c>
      <c r="B1658">
        <f>HYPERLINK("https://www.suredividend.com/sure-analysis-research-database/","Terex Corp.")</f>
        <v>0</v>
      </c>
      <c r="C1658" t="s">
        <v>1924</v>
      </c>
      <c r="D1658">
        <v>44.13</v>
      </c>
      <c r="E1658">
        <v>0.011725170078935</v>
      </c>
      <c r="F1658" t="s">
        <v>1921</v>
      </c>
      <c r="G1658" t="s">
        <v>1921</v>
      </c>
      <c r="H1658">
        <v>0.517431755583426</v>
      </c>
      <c r="I1658">
        <v>2978.775</v>
      </c>
      <c r="J1658">
        <v>11.17319954988747</v>
      </c>
      <c r="K1658">
        <v>0.1358088597331827</v>
      </c>
      <c r="L1658">
        <v>1.333501739057023</v>
      </c>
      <c r="M1658">
        <v>46.83</v>
      </c>
      <c r="N1658">
        <v>26.46</v>
      </c>
    </row>
    <row r="1659" spans="1:14">
      <c r="A1659" s="1" t="s">
        <v>1671</v>
      </c>
      <c r="B1659">
        <f>HYPERLINK("https://www.suredividend.com/sure-analysis-research-database/","Tredegar Corp.")</f>
        <v>0</v>
      </c>
      <c r="C1659" t="s">
        <v>1925</v>
      </c>
      <c r="D1659">
        <v>11.05</v>
      </c>
      <c r="E1659">
        <v>0.04447714314552501</v>
      </c>
      <c r="F1659">
        <v>0.08333333333333348</v>
      </c>
      <c r="G1659">
        <v>0.03397522653195018</v>
      </c>
      <c r="H1659">
        <v>0.491472431758058</v>
      </c>
      <c r="I1659">
        <v>375.707094</v>
      </c>
      <c r="J1659">
        <v>6.999014420640835</v>
      </c>
      <c r="K1659">
        <v>0.3091021583384013</v>
      </c>
      <c r="L1659">
        <v>0.681232172071881</v>
      </c>
      <c r="M1659">
        <v>12.58</v>
      </c>
      <c r="N1659">
        <v>9.32</v>
      </c>
    </row>
    <row r="1660" spans="1:14">
      <c r="A1660" s="1" t="s">
        <v>1672</v>
      </c>
      <c r="B1660">
        <f>HYPERLINK("https://www.suredividend.com/sure-analysis-research-database/","Textainer Group Holdings Limited")</f>
        <v>0</v>
      </c>
      <c r="C1660" t="s">
        <v>1924</v>
      </c>
      <c r="D1660">
        <v>31.95</v>
      </c>
      <c r="E1660">
        <v>0.030919431803983</v>
      </c>
      <c r="F1660" t="s">
        <v>1921</v>
      </c>
      <c r="G1660" t="s">
        <v>1921</v>
      </c>
      <c r="H1660">
        <v>0.9878758461372691</v>
      </c>
      <c r="I1660">
        <v>1585.794127</v>
      </c>
      <c r="J1660">
        <v>5.275780581043316</v>
      </c>
      <c r="K1660">
        <v>0.1598504605400112</v>
      </c>
      <c r="L1660">
        <v>0.939770944804282</v>
      </c>
      <c r="M1660">
        <v>40.61</v>
      </c>
      <c r="N1660">
        <v>25.05</v>
      </c>
    </row>
    <row r="1661" spans="1:14">
      <c r="A1661" s="1" t="s">
        <v>1673</v>
      </c>
      <c r="B1661">
        <f>HYPERLINK("https://www.suredividend.com/sure-analysis-research-database/","Triumph Group Inc.")</f>
        <v>0</v>
      </c>
      <c r="C1661" t="s">
        <v>1924</v>
      </c>
      <c r="D1661">
        <v>9.5</v>
      </c>
      <c r="E1661">
        <v>0</v>
      </c>
      <c r="F1661" t="s">
        <v>1921</v>
      </c>
      <c r="G1661" t="s">
        <v>1921</v>
      </c>
      <c r="H1661">
        <v>0</v>
      </c>
      <c r="I1661">
        <v>617.51729</v>
      </c>
      <c r="J1661">
        <v>6.650912684308593</v>
      </c>
      <c r="K1661">
        <v>0</v>
      </c>
      <c r="M1661">
        <v>27.85</v>
      </c>
      <c r="N1661">
        <v>7.84</v>
      </c>
    </row>
    <row r="1662" spans="1:14">
      <c r="A1662" s="1" t="s">
        <v>1674</v>
      </c>
      <c r="B1662">
        <f>HYPERLINK("https://www.suredividend.com/sure-analysis-research-database/","TEGNA Inc")</f>
        <v>0</v>
      </c>
      <c r="C1662" t="s">
        <v>1931</v>
      </c>
      <c r="D1662">
        <v>20.7</v>
      </c>
      <c r="E1662">
        <v>0.018230941515132</v>
      </c>
      <c r="F1662">
        <v>0</v>
      </c>
      <c r="G1662">
        <v>0.06298004826234438</v>
      </c>
      <c r="H1662">
        <v>0.377380489363237</v>
      </c>
      <c r="I1662">
        <v>4622.171869</v>
      </c>
      <c r="J1662">
        <v>8.539036408528373</v>
      </c>
      <c r="K1662">
        <v>0.1559423509765442</v>
      </c>
      <c r="L1662">
        <v>0.317915430776019</v>
      </c>
      <c r="M1662">
        <v>22.65</v>
      </c>
      <c r="N1662">
        <v>17.62</v>
      </c>
    </row>
    <row r="1663" spans="1:14">
      <c r="A1663" s="1" t="s">
        <v>1675</v>
      </c>
      <c r="B1663">
        <f>HYPERLINK("https://www.suredividend.com/sure-analysis-research-database/","TG Therapeutics Inc")</f>
        <v>0</v>
      </c>
      <c r="C1663" t="s">
        <v>1922</v>
      </c>
      <c r="D1663">
        <v>11.65</v>
      </c>
      <c r="E1663">
        <v>0</v>
      </c>
      <c r="F1663" t="s">
        <v>1921</v>
      </c>
      <c r="G1663" t="s">
        <v>1921</v>
      </c>
      <c r="H1663">
        <v>0</v>
      </c>
      <c r="I1663">
        <v>1693.233916</v>
      </c>
      <c r="J1663" t="s">
        <v>1921</v>
      </c>
      <c r="K1663">
        <v>-0</v>
      </c>
      <c r="L1663">
        <v>2.770195304666999</v>
      </c>
      <c r="M1663">
        <v>17.54</v>
      </c>
      <c r="N1663">
        <v>3.48</v>
      </c>
    </row>
    <row r="1664" spans="1:14">
      <c r="A1664" s="1" t="s">
        <v>1676</v>
      </c>
      <c r="B1664">
        <f>HYPERLINK("https://www.suredividend.com/sure-analysis-research-database/","Target Hospitality Corp")</f>
        <v>0</v>
      </c>
      <c r="C1664" t="s">
        <v>1926</v>
      </c>
      <c r="D1664">
        <v>15.86</v>
      </c>
      <c r="E1664">
        <v>0</v>
      </c>
      <c r="F1664" t="s">
        <v>1921</v>
      </c>
      <c r="G1664" t="s">
        <v>1921</v>
      </c>
      <c r="H1664">
        <v>0</v>
      </c>
      <c r="I1664">
        <v>1542.502237</v>
      </c>
      <c r="J1664">
        <v>0</v>
      </c>
      <c r="K1664" t="s">
        <v>1921</v>
      </c>
      <c r="L1664">
        <v>0.399581351972698</v>
      </c>
      <c r="M1664">
        <v>16.73</v>
      </c>
      <c r="N1664">
        <v>2.72</v>
      </c>
    </row>
    <row r="1665" spans="1:14">
      <c r="A1665" s="1" t="s">
        <v>1677</v>
      </c>
      <c r="B1665">
        <f>HYPERLINK("https://www.suredividend.com/sure-analysis-research-database/","Tenet Healthcare Corp.")</f>
        <v>0</v>
      </c>
      <c r="C1665" t="s">
        <v>1922</v>
      </c>
      <c r="D1665">
        <v>51.84</v>
      </c>
      <c r="E1665">
        <v>0</v>
      </c>
      <c r="F1665" t="s">
        <v>1921</v>
      </c>
      <c r="G1665" t="s">
        <v>1921</v>
      </c>
      <c r="H1665">
        <v>0</v>
      </c>
      <c r="I1665">
        <v>5605.105962</v>
      </c>
      <c r="J1665">
        <v>10.04499276387097</v>
      </c>
      <c r="K1665">
        <v>0</v>
      </c>
      <c r="L1665">
        <v>1.312817084562485</v>
      </c>
      <c r="M1665">
        <v>92.65000000000001</v>
      </c>
      <c r="N1665">
        <v>36.69</v>
      </c>
    </row>
    <row r="1666" spans="1:14">
      <c r="A1666" s="1" t="s">
        <v>1678</v>
      </c>
      <c r="B1666">
        <f>HYPERLINK("https://www.suredividend.com/sure-analysis-THFF/","First Financial Corp. - Indiana")</f>
        <v>0</v>
      </c>
      <c r="C1666" t="s">
        <v>1923</v>
      </c>
      <c r="D1666">
        <v>45.42</v>
      </c>
      <c r="E1666">
        <v>0.02377807133421401</v>
      </c>
      <c r="F1666" t="s">
        <v>1921</v>
      </c>
      <c r="G1666" t="s">
        <v>1921</v>
      </c>
      <c r="H1666">
        <v>1.077643413049845</v>
      </c>
      <c r="I1666">
        <v>546.039149</v>
      </c>
      <c r="J1666">
        <v>8.809072196302392</v>
      </c>
      <c r="K1666">
        <v>0.215528682609969</v>
      </c>
      <c r="L1666">
        <v>0.266671977534427</v>
      </c>
      <c r="M1666">
        <v>49.68</v>
      </c>
      <c r="N1666">
        <v>40.82</v>
      </c>
    </row>
    <row r="1667" spans="1:14">
      <c r="A1667" s="1" t="s">
        <v>1679</v>
      </c>
      <c r="B1667">
        <f>HYPERLINK("https://www.suredividend.com/sure-analysis-research-database/","Thermon Group Holdings Inc")</f>
        <v>0</v>
      </c>
      <c r="C1667" t="s">
        <v>1924</v>
      </c>
      <c r="D1667">
        <v>21</v>
      </c>
      <c r="E1667">
        <v>0</v>
      </c>
      <c r="F1667" t="s">
        <v>1921</v>
      </c>
      <c r="G1667" t="s">
        <v>1921</v>
      </c>
      <c r="H1667">
        <v>0</v>
      </c>
      <c r="I1667">
        <v>703.3579140000001</v>
      </c>
      <c r="J1667">
        <v>19.38265856481481</v>
      </c>
      <c r="K1667">
        <v>0</v>
      </c>
      <c r="L1667">
        <v>0.748177453567466</v>
      </c>
      <c r="M1667">
        <v>21.38</v>
      </c>
      <c r="N1667">
        <v>13.26</v>
      </c>
    </row>
    <row r="1668" spans="1:14">
      <c r="A1668" s="1" t="s">
        <v>1680</v>
      </c>
      <c r="B1668">
        <f>HYPERLINK("https://www.suredividend.com/sure-analysis-research-database/","Gentherm Inc")</f>
        <v>0</v>
      </c>
      <c r="C1668" t="s">
        <v>1927</v>
      </c>
      <c r="D1668">
        <v>69.59</v>
      </c>
      <c r="E1668">
        <v>0</v>
      </c>
      <c r="F1668" t="s">
        <v>1921</v>
      </c>
      <c r="G1668" t="s">
        <v>1921</v>
      </c>
      <c r="H1668">
        <v>0</v>
      </c>
      <c r="I1668">
        <v>2310.253483</v>
      </c>
      <c r="J1668">
        <v>47.44431516264838</v>
      </c>
      <c r="K1668">
        <v>0</v>
      </c>
      <c r="L1668">
        <v>1.246309374510489</v>
      </c>
      <c r="M1668">
        <v>99</v>
      </c>
      <c r="N1668">
        <v>49.45</v>
      </c>
    </row>
    <row r="1669" spans="1:14">
      <c r="A1669" s="1" t="s">
        <v>1681</v>
      </c>
      <c r="B1669">
        <f>HYPERLINK("https://www.suredividend.com/sure-analysis-research-database/","Theseus Pharmaceuticals Inc")</f>
        <v>0</v>
      </c>
      <c r="C1669" t="s">
        <v>1921</v>
      </c>
      <c r="D1669">
        <v>7.95</v>
      </c>
      <c r="E1669">
        <v>0</v>
      </c>
      <c r="F1669" t="s">
        <v>1921</v>
      </c>
      <c r="G1669" t="s">
        <v>1921</v>
      </c>
      <c r="H1669">
        <v>0</v>
      </c>
      <c r="I1669">
        <v>307.771769</v>
      </c>
      <c r="J1669">
        <v>0</v>
      </c>
      <c r="K1669" t="s">
        <v>1921</v>
      </c>
      <c r="L1669">
        <v>1.555904698637409</v>
      </c>
      <c r="M1669">
        <v>15.21</v>
      </c>
      <c r="N1669">
        <v>4.01</v>
      </c>
    </row>
    <row r="1670" spans="1:14">
      <c r="A1670" s="1" t="s">
        <v>1682</v>
      </c>
      <c r="B1670">
        <f>HYPERLINK("https://www.suredividend.com/sure-analysis-research-database/","Thryv Holdings Inc")</f>
        <v>0</v>
      </c>
      <c r="C1670" t="s">
        <v>1921</v>
      </c>
      <c r="D1670">
        <v>19.37</v>
      </c>
      <c r="E1670">
        <v>0</v>
      </c>
      <c r="F1670" t="s">
        <v>1921</v>
      </c>
      <c r="G1670" t="s">
        <v>1921</v>
      </c>
      <c r="H1670">
        <v>0</v>
      </c>
      <c r="I1670">
        <v>667.784411</v>
      </c>
      <c r="J1670">
        <v>0</v>
      </c>
      <c r="K1670" t="s">
        <v>1921</v>
      </c>
      <c r="L1670">
        <v>0.9614868248621851</v>
      </c>
      <c r="M1670">
        <v>37.18</v>
      </c>
      <c r="N1670">
        <v>17.3</v>
      </c>
    </row>
    <row r="1671" spans="1:14">
      <c r="A1671" s="1" t="s">
        <v>1683</v>
      </c>
      <c r="B1671">
        <f>HYPERLINK("https://www.suredividend.com/sure-analysis-research-database/","Treehouse Foods Inc")</f>
        <v>0</v>
      </c>
      <c r="C1671" t="s">
        <v>1928</v>
      </c>
      <c r="D1671">
        <v>49.74</v>
      </c>
      <c r="E1671">
        <v>0</v>
      </c>
      <c r="F1671" t="s">
        <v>1921</v>
      </c>
      <c r="G1671" t="s">
        <v>1921</v>
      </c>
      <c r="H1671">
        <v>0</v>
      </c>
      <c r="I1671">
        <v>2789.540665</v>
      </c>
      <c r="J1671" t="s">
        <v>1921</v>
      </c>
      <c r="K1671">
        <v>-0</v>
      </c>
      <c r="L1671">
        <v>0.458105340643353</v>
      </c>
      <c r="M1671">
        <v>51.55</v>
      </c>
      <c r="N1671">
        <v>29.47</v>
      </c>
    </row>
    <row r="1672" spans="1:14">
      <c r="A1672" s="1" t="s">
        <v>1684</v>
      </c>
      <c r="B1672">
        <f>HYPERLINK("https://www.suredividend.com/sure-analysis-research-database/","Trean Insurance Group Inc")</f>
        <v>0</v>
      </c>
      <c r="C1672" t="s">
        <v>1921</v>
      </c>
      <c r="D1672">
        <v>6</v>
      </c>
      <c r="E1672">
        <v>0</v>
      </c>
      <c r="F1672" t="s">
        <v>1921</v>
      </c>
      <c r="G1672" t="s">
        <v>1921</v>
      </c>
      <c r="H1672">
        <v>0</v>
      </c>
      <c r="I1672">
        <v>307.32291</v>
      </c>
      <c r="J1672">
        <v>0</v>
      </c>
      <c r="K1672" t="s">
        <v>1921</v>
      </c>
      <c r="L1672">
        <v>0.465560073721886</v>
      </c>
      <c r="M1672">
        <v>8.460000000000001</v>
      </c>
      <c r="N1672">
        <v>2.12</v>
      </c>
    </row>
    <row r="1673" spans="1:14">
      <c r="A1673" s="1" t="s">
        <v>1685</v>
      </c>
      <c r="B1673">
        <f>HYPERLINK("https://www.suredividend.com/sure-analysis-research-database/","Instil Bio Inc")</f>
        <v>0</v>
      </c>
      <c r="C1673" t="s">
        <v>1921</v>
      </c>
      <c r="D1673">
        <v>0.67</v>
      </c>
      <c r="E1673">
        <v>0</v>
      </c>
      <c r="F1673" t="s">
        <v>1921</v>
      </c>
      <c r="G1673" t="s">
        <v>1921</v>
      </c>
      <c r="H1673">
        <v>0</v>
      </c>
      <c r="I1673">
        <v>86.89522700000001</v>
      </c>
      <c r="J1673">
        <v>0</v>
      </c>
      <c r="K1673" t="s">
        <v>1921</v>
      </c>
      <c r="L1673">
        <v>1.562911230894274</v>
      </c>
      <c r="M1673">
        <v>14.95</v>
      </c>
      <c r="N1673">
        <v>0.471</v>
      </c>
    </row>
    <row r="1674" spans="1:14">
      <c r="A1674" s="1" t="s">
        <v>1686</v>
      </c>
      <c r="B1674">
        <f>HYPERLINK("https://www.suredividend.com/sure-analysis-research-database/","Interface Inc.")</f>
        <v>0</v>
      </c>
      <c r="C1674" t="s">
        <v>1927</v>
      </c>
      <c r="D1674">
        <v>10.4</v>
      </c>
      <c r="E1674">
        <v>0.003841090385228</v>
      </c>
      <c r="F1674">
        <v>0</v>
      </c>
      <c r="G1674">
        <v>-0.312271014707454</v>
      </c>
      <c r="H1674">
        <v>0.03994734000637901</v>
      </c>
      <c r="I1674">
        <v>604.965951</v>
      </c>
      <c r="J1674">
        <v>9.267248026960784</v>
      </c>
      <c r="K1674">
        <v>0.03631576364216273</v>
      </c>
      <c r="L1674">
        <v>1.180055769132275</v>
      </c>
      <c r="M1674">
        <v>15.28</v>
      </c>
      <c r="N1674">
        <v>8.890000000000001</v>
      </c>
    </row>
    <row r="1675" spans="1:14">
      <c r="A1675" s="1" t="s">
        <v>1687</v>
      </c>
      <c r="B1675">
        <f>HYPERLINK("https://www.suredividend.com/sure-analysis-research-database/","Tiptree Inc")</f>
        <v>0</v>
      </c>
      <c r="C1675" t="s">
        <v>1923</v>
      </c>
      <c r="D1675">
        <v>14.47</v>
      </c>
      <c r="E1675">
        <v>0.011003607727978</v>
      </c>
      <c r="F1675" t="s">
        <v>1921</v>
      </c>
      <c r="G1675" t="s">
        <v>1921</v>
      </c>
      <c r="H1675">
        <v>0.15922220382385</v>
      </c>
      <c r="I1675">
        <v>524.575426</v>
      </c>
      <c r="J1675">
        <v>0</v>
      </c>
      <c r="K1675" t="s">
        <v>1921</v>
      </c>
      <c r="L1675">
        <v>0.7528501543311761</v>
      </c>
      <c r="M1675">
        <v>15.17</v>
      </c>
      <c r="N1675">
        <v>9.74</v>
      </c>
    </row>
    <row r="1676" spans="1:14">
      <c r="A1676" s="1" t="s">
        <v>1688</v>
      </c>
      <c r="B1676">
        <f>HYPERLINK("https://www.suredividend.com/sure-analysis-research-database/","Team, Inc.")</f>
        <v>0</v>
      </c>
      <c r="C1676" t="s">
        <v>1924</v>
      </c>
      <c r="D1676">
        <v>8.08</v>
      </c>
      <c r="E1676">
        <v>0</v>
      </c>
      <c r="F1676" t="s">
        <v>1921</v>
      </c>
      <c r="G1676" t="s">
        <v>1921</v>
      </c>
      <c r="H1676">
        <v>0</v>
      </c>
      <c r="I1676">
        <v>349.248942</v>
      </c>
      <c r="J1676" t="s">
        <v>1921</v>
      </c>
      <c r="K1676">
        <v>-0</v>
      </c>
      <c r="L1676">
        <v>1.371233669546127</v>
      </c>
      <c r="M1676">
        <v>30.7</v>
      </c>
      <c r="N1676">
        <v>5.06</v>
      </c>
    </row>
    <row r="1677" spans="1:14">
      <c r="A1677" s="1" t="s">
        <v>1689</v>
      </c>
      <c r="B1677">
        <f>HYPERLINK("https://www.suredividend.com/sure-analysis-research-database/","Titan Machinery Inc")</f>
        <v>0</v>
      </c>
      <c r="C1677" t="s">
        <v>1924</v>
      </c>
      <c r="D1677">
        <v>41.1</v>
      </c>
      <c r="E1677">
        <v>0</v>
      </c>
      <c r="F1677" t="s">
        <v>1921</v>
      </c>
      <c r="G1677" t="s">
        <v>1921</v>
      </c>
      <c r="H1677">
        <v>0</v>
      </c>
      <c r="I1677">
        <v>933.252152</v>
      </c>
      <c r="J1677">
        <v>8.905927583738908</v>
      </c>
      <c r="K1677">
        <v>0</v>
      </c>
      <c r="L1677">
        <v>1.279113415248292</v>
      </c>
      <c r="M1677">
        <v>44.35</v>
      </c>
      <c r="N1677">
        <v>21.5</v>
      </c>
    </row>
    <row r="1678" spans="1:14">
      <c r="A1678" s="1" t="s">
        <v>1690</v>
      </c>
      <c r="B1678">
        <f>HYPERLINK("https://www.suredividend.com/sure-analysis-research-database/","Teekay Corp")</f>
        <v>0</v>
      </c>
      <c r="C1678" t="s">
        <v>1926</v>
      </c>
      <c r="D1678">
        <v>4.37</v>
      </c>
      <c r="E1678">
        <v>0</v>
      </c>
      <c r="F1678" t="s">
        <v>1921</v>
      </c>
      <c r="G1678" t="s">
        <v>1921</v>
      </c>
      <c r="H1678">
        <v>0</v>
      </c>
      <c r="I1678">
        <v>444.399516</v>
      </c>
      <c r="J1678">
        <v>20.27832606023272</v>
      </c>
      <c r="K1678">
        <v>0</v>
      </c>
      <c r="L1678">
        <v>0.5234139650124841</v>
      </c>
      <c r="M1678">
        <v>4.62</v>
      </c>
      <c r="N1678">
        <v>2.54</v>
      </c>
    </row>
    <row r="1679" spans="1:14">
      <c r="A1679" s="1" t="s">
        <v>1691</v>
      </c>
      <c r="B1679">
        <f>HYPERLINK("https://www.suredividend.com/sure-analysis-research-database/","Alpha Teknova Inc")</f>
        <v>0</v>
      </c>
      <c r="C1679" t="s">
        <v>1921</v>
      </c>
      <c r="D1679">
        <v>5.49</v>
      </c>
      <c r="E1679">
        <v>0</v>
      </c>
      <c r="F1679" t="s">
        <v>1921</v>
      </c>
      <c r="G1679" t="s">
        <v>1921</v>
      </c>
      <c r="H1679">
        <v>0</v>
      </c>
      <c r="I1679">
        <v>154.216757</v>
      </c>
      <c r="J1679">
        <v>0</v>
      </c>
      <c r="K1679" t="s">
        <v>1921</v>
      </c>
      <c r="L1679">
        <v>1.512491228002987</v>
      </c>
      <c r="M1679">
        <v>18.34</v>
      </c>
      <c r="N1679">
        <v>3.02</v>
      </c>
    </row>
    <row r="1680" spans="1:14">
      <c r="A1680" s="1" t="s">
        <v>1692</v>
      </c>
      <c r="B1680">
        <f>HYPERLINK("https://www.suredividend.com/sure-analysis-research-database/","Talis Biomedical Corp")</f>
        <v>0</v>
      </c>
      <c r="C1680" t="s">
        <v>1921</v>
      </c>
      <c r="D1680">
        <v>0.5169</v>
      </c>
      <c r="E1680">
        <v>0</v>
      </c>
      <c r="F1680" t="s">
        <v>1921</v>
      </c>
      <c r="G1680" t="s">
        <v>1921</v>
      </c>
      <c r="H1680">
        <v>0</v>
      </c>
      <c r="I1680">
        <v>13.843572</v>
      </c>
      <c r="J1680">
        <v>0</v>
      </c>
      <c r="K1680" t="s">
        <v>1921</v>
      </c>
      <c r="L1680">
        <v>0.526329209355287</v>
      </c>
      <c r="M1680">
        <v>3.39</v>
      </c>
      <c r="N1680">
        <v>0.421</v>
      </c>
    </row>
    <row r="1681" spans="1:14">
      <c r="A1681" s="1" t="s">
        <v>1693</v>
      </c>
      <c r="B1681">
        <f>HYPERLINK("https://www.suredividend.com/sure-analysis-research-database/","Telos Corp")</f>
        <v>0</v>
      </c>
      <c r="C1681" t="s">
        <v>1921</v>
      </c>
      <c r="D1681">
        <v>5</v>
      </c>
      <c r="E1681">
        <v>0</v>
      </c>
      <c r="F1681" t="s">
        <v>1921</v>
      </c>
      <c r="G1681" t="s">
        <v>1921</v>
      </c>
      <c r="H1681">
        <v>0</v>
      </c>
      <c r="I1681">
        <v>336.05312</v>
      </c>
      <c r="J1681">
        <v>0</v>
      </c>
      <c r="K1681" t="s">
        <v>1921</v>
      </c>
      <c r="L1681">
        <v>1.580414149307998</v>
      </c>
      <c r="M1681">
        <v>14.87</v>
      </c>
      <c r="N1681">
        <v>3.35</v>
      </c>
    </row>
    <row r="1682" spans="1:14">
      <c r="A1682" s="1" t="s">
        <v>1694</v>
      </c>
      <c r="B1682">
        <f>HYPERLINK("https://www.suredividend.com/sure-analysis-research-database/","Tillys Inc")</f>
        <v>0</v>
      </c>
      <c r="C1682" t="s">
        <v>1927</v>
      </c>
      <c r="D1682">
        <v>8.67</v>
      </c>
      <c r="E1682">
        <v>0</v>
      </c>
      <c r="F1682" t="s">
        <v>1921</v>
      </c>
      <c r="G1682" t="s">
        <v>1921</v>
      </c>
      <c r="H1682">
        <v>0</v>
      </c>
      <c r="I1682">
        <v>195.399787</v>
      </c>
      <c r="J1682">
        <v>8.947286362470809</v>
      </c>
      <c r="K1682">
        <v>0</v>
      </c>
      <c r="L1682">
        <v>1.042152207154521</v>
      </c>
      <c r="M1682">
        <v>14.54</v>
      </c>
      <c r="N1682">
        <v>6.65</v>
      </c>
    </row>
    <row r="1683" spans="1:14">
      <c r="A1683" s="1" t="s">
        <v>1695</v>
      </c>
      <c r="B1683">
        <f>HYPERLINK("https://www.suredividend.com/sure-analysis-research-database/","Treace Medical Concepts Inc")</f>
        <v>0</v>
      </c>
      <c r="C1683" t="s">
        <v>1921</v>
      </c>
      <c r="D1683">
        <v>22.82</v>
      </c>
      <c r="E1683">
        <v>0</v>
      </c>
      <c r="F1683" t="s">
        <v>1921</v>
      </c>
      <c r="G1683" t="s">
        <v>1921</v>
      </c>
      <c r="H1683">
        <v>0</v>
      </c>
      <c r="I1683">
        <v>1266.549752</v>
      </c>
      <c r="J1683">
        <v>0</v>
      </c>
      <c r="K1683" t="s">
        <v>1921</v>
      </c>
      <c r="L1683">
        <v>1.390155255281849</v>
      </c>
      <c r="M1683">
        <v>25.02</v>
      </c>
      <c r="N1683">
        <v>12.48</v>
      </c>
    </row>
    <row r="1684" spans="1:14">
      <c r="A1684" s="1" t="s">
        <v>1696</v>
      </c>
      <c r="B1684">
        <f>HYPERLINK("https://www.suredividend.com/sure-analysis-research-database/","Transmedics Group Inc")</f>
        <v>0</v>
      </c>
      <c r="C1684" t="s">
        <v>1922</v>
      </c>
      <c r="D1684">
        <v>53.63</v>
      </c>
      <c r="E1684">
        <v>0</v>
      </c>
      <c r="F1684" t="s">
        <v>1921</v>
      </c>
      <c r="G1684" t="s">
        <v>1921</v>
      </c>
      <c r="H1684">
        <v>0</v>
      </c>
      <c r="I1684">
        <v>1712.095919</v>
      </c>
      <c r="J1684">
        <v>0</v>
      </c>
      <c r="K1684" t="s">
        <v>1921</v>
      </c>
      <c r="L1684">
        <v>1.947890434112586</v>
      </c>
      <c r="M1684">
        <v>64.36</v>
      </c>
      <c r="N1684">
        <v>10</v>
      </c>
    </row>
    <row r="1685" spans="1:14">
      <c r="A1685" s="1" t="s">
        <v>1697</v>
      </c>
      <c r="B1685">
        <f>HYPERLINK("https://www.suredividend.com/sure-analysis-research-database/","Taylor Morrison Home Corp.")</f>
        <v>0</v>
      </c>
      <c r="C1685" t="s">
        <v>1927</v>
      </c>
      <c r="D1685">
        <v>32.19</v>
      </c>
      <c r="E1685">
        <v>0</v>
      </c>
      <c r="F1685" t="s">
        <v>1921</v>
      </c>
      <c r="G1685" t="s">
        <v>1921</v>
      </c>
      <c r="H1685">
        <v>0</v>
      </c>
      <c r="I1685">
        <v>3487.677601</v>
      </c>
      <c r="J1685">
        <v>3.320987286365458</v>
      </c>
      <c r="K1685">
        <v>0</v>
      </c>
      <c r="L1685">
        <v>1.396979950034693</v>
      </c>
      <c r="M1685">
        <v>33.85</v>
      </c>
      <c r="N1685">
        <v>20.05</v>
      </c>
    </row>
    <row r="1686" spans="1:14">
      <c r="A1686" s="1" t="s">
        <v>1698</v>
      </c>
      <c r="B1686">
        <f>HYPERLINK("https://www.suredividend.com/sure-analysis-TMP/","Tompkins Financial Corp")</f>
        <v>0</v>
      </c>
      <c r="C1686" t="s">
        <v>1923</v>
      </c>
      <c r="D1686">
        <v>75.98999999999999</v>
      </c>
      <c r="E1686">
        <v>0.03158310303987367</v>
      </c>
      <c r="F1686">
        <v>0.05263157894736836</v>
      </c>
      <c r="G1686">
        <v>0.04563955259127317</v>
      </c>
      <c r="H1686">
        <v>2.28506264632586</v>
      </c>
      <c r="I1686">
        <v>1100.620694</v>
      </c>
      <c r="J1686">
        <v>13.00555017228544</v>
      </c>
      <c r="K1686">
        <v>0.3899424311136279</v>
      </c>
      <c r="L1686">
        <v>0.587176064174693</v>
      </c>
      <c r="M1686">
        <v>85</v>
      </c>
      <c r="N1686">
        <v>67.51000000000001</v>
      </c>
    </row>
    <row r="1687" spans="1:14">
      <c r="A1687" s="1" t="s">
        <v>1699</v>
      </c>
      <c r="B1687">
        <f>HYPERLINK("https://www.suredividend.com/sure-analysis-research-database/","TimkenSteel Corp")</f>
        <v>0</v>
      </c>
      <c r="C1687" t="s">
        <v>1925</v>
      </c>
      <c r="D1687">
        <v>18.4</v>
      </c>
      <c r="E1687">
        <v>0</v>
      </c>
      <c r="F1687" t="s">
        <v>1921</v>
      </c>
      <c r="G1687" t="s">
        <v>1921</v>
      </c>
      <c r="H1687">
        <v>0</v>
      </c>
      <c r="I1687">
        <v>818.23685</v>
      </c>
      <c r="J1687">
        <v>5.265359392535392</v>
      </c>
      <c r="K1687">
        <v>0</v>
      </c>
      <c r="L1687">
        <v>1.503165691164522</v>
      </c>
      <c r="M1687">
        <v>26.23</v>
      </c>
      <c r="N1687">
        <v>12.67</v>
      </c>
    </row>
    <row r="1688" spans="1:14">
      <c r="A1688" s="1" t="s">
        <v>1700</v>
      </c>
      <c r="B1688">
        <f>HYPERLINK("https://www.suredividend.com/sure-analysis-TNC/","Tennant Co.")</f>
        <v>0</v>
      </c>
      <c r="C1688" t="s">
        <v>1924</v>
      </c>
      <c r="D1688">
        <v>65.14</v>
      </c>
      <c r="E1688">
        <v>0.01535155050660117</v>
      </c>
      <c r="F1688">
        <v>0.06000000000000005</v>
      </c>
      <c r="G1688">
        <v>0.04762370263962179</v>
      </c>
      <c r="H1688">
        <v>1.008828742342007</v>
      </c>
      <c r="I1688">
        <v>1211.371385</v>
      </c>
      <c r="J1688">
        <v>24.03514652896825</v>
      </c>
      <c r="K1688">
        <v>0.3750292722460993</v>
      </c>
      <c r="L1688">
        <v>0.7932762203569691</v>
      </c>
      <c r="M1688">
        <v>84.29000000000001</v>
      </c>
      <c r="N1688">
        <v>54.45</v>
      </c>
    </row>
    <row r="1689" spans="1:14">
      <c r="A1689" s="1" t="s">
        <v>1701</v>
      </c>
      <c r="B1689">
        <f>HYPERLINK("https://www.suredividend.com/sure-analysis-research-database/","TriNet Group Inc")</f>
        <v>0</v>
      </c>
      <c r="C1689" t="s">
        <v>1924</v>
      </c>
      <c r="D1689">
        <v>72.29000000000001</v>
      </c>
      <c r="E1689">
        <v>0</v>
      </c>
      <c r="F1689" t="s">
        <v>1921</v>
      </c>
      <c r="G1689" t="s">
        <v>1921</v>
      </c>
      <c r="H1689">
        <v>0</v>
      </c>
      <c r="I1689">
        <v>4498.616315</v>
      </c>
      <c r="J1689">
        <v>11.93266926941645</v>
      </c>
      <c r="K1689">
        <v>0</v>
      </c>
      <c r="L1689">
        <v>0.9309076877843281</v>
      </c>
      <c r="M1689">
        <v>103.36</v>
      </c>
      <c r="N1689">
        <v>60.61</v>
      </c>
    </row>
    <row r="1690" spans="1:14">
      <c r="A1690" s="1" t="s">
        <v>1702</v>
      </c>
      <c r="B1690">
        <f>HYPERLINK("https://www.suredividend.com/sure-analysis-research-database/","Teekay Tankers Ltd")</f>
        <v>0</v>
      </c>
      <c r="C1690" t="s">
        <v>1926</v>
      </c>
      <c r="D1690">
        <v>26.76</v>
      </c>
      <c r="E1690">
        <v>0</v>
      </c>
      <c r="F1690" t="s">
        <v>1921</v>
      </c>
      <c r="G1690" t="s">
        <v>1921</v>
      </c>
      <c r="H1690">
        <v>0</v>
      </c>
      <c r="I1690">
        <v>779.041027</v>
      </c>
      <c r="J1690">
        <v>18.18022979533733</v>
      </c>
      <c r="K1690">
        <v>0</v>
      </c>
      <c r="L1690">
        <v>0.4553824591448251</v>
      </c>
      <c r="M1690">
        <v>36.61</v>
      </c>
      <c r="N1690">
        <v>9.890000000000001</v>
      </c>
    </row>
    <row r="1691" spans="1:14">
      <c r="A1691" s="1" t="s">
        <v>1703</v>
      </c>
      <c r="B1691">
        <f>HYPERLINK("https://www.suredividend.com/sure-analysis-research-database/","Tonix Pharmaceuticals Holding Corp")</f>
        <v>0</v>
      </c>
      <c r="C1691" t="s">
        <v>1922</v>
      </c>
      <c r="D1691">
        <v>0.8200000000000001</v>
      </c>
      <c r="E1691">
        <v>0</v>
      </c>
      <c r="F1691" t="s">
        <v>1921</v>
      </c>
      <c r="G1691" t="s">
        <v>1921</v>
      </c>
      <c r="H1691">
        <v>0</v>
      </c>
      <c r="I1691">
        <v>47.17976</v>
      </c>
      <c r="J1691">
        <v>0</v>
      </c>
      <c r="K1691" t="s">
        <v>1921</v>
      </c>
      <c r="L1691">
        <v>1.258634435107768</v>
      </c>
      <c r="M1691">
        <v>11.52</v>
      </c>
      <c r="N1691">
        <v>0.289</v>
      </c>
    </row>
    <row r="1692" spans="1:14">
      <c r="A1692" s="1" t="s">
        <v>1704</v>
      </c>
      <c r="B1692">
        <f>HYPERLINK("https://www.suredividend.com/sure-analysis-research-database/","Tenaya Therapeutics Inc")</f>
        <v>0</v>
      </c>
      <c r="C1692" t="s">
        <v>1921</v>
      </c>
      <c r="D1692">
        <v>1.99</v>
      </c>
      <c r="E1692">
        <v>0</v>
      </c>
      <c r="F1692" t="s">
        <v>1921</v>
      </c>
      <c r="G1692" t="s">
        <v>1921</v>
      </c>
      <c r="H1692">
        <v>0</v>
      </c>
      <c r="I1692">
        <v>82.33527100000001</v>
      </c>
      <c r="J1692">
        <v>0</v>
      </c>
      <c r="K1692" t="s">
        <v>1921</v>
      </c>
      <c r="L1692">
        <v>1.621036301464678</v>
      </c>
      <c r="M1692">
        <v>16.17</v>
      </c>
      <c r="N1692">
        <v>1.64</v>
      </c>
    </row>
    <row r="1693" spans="1:14">
      <c r="A1693" s="1" t="s">
        <v>1705</v>
      </c>
      <c r="B1693">
        <f>HYPERLINK("https://www.suredividend.com/sure-analysis-research-database/","Townebank Portsmouth VA")</f>
        <v>0</v>
      </c>
      <c r="C1693" t="s">
        <v>1923</v>
      </c>
      <c r="D1693">
        <v>30.3</v>
      </c>
      <c r="E1693">
        <v>0.029040219457806</v>
      </c>
      <c r="F1693">
        <v>0.1499999999999999</v>
      </c>
      <c r="G1693">
        <v>0.1043836287043816</v>
      </c>
      <c r="H1693">
        <v>0.8799186495715481</v>
      </c>
      <c r="I1693">
        <v>1565.86361</v>
      </c>
      <c r="J1693">
        <v>0</v>
      </c>
      <c r="K1693" t="s">
        <v>1921</v>
      </c>
      <c r="L1693">
        <v>0.633665757629009</v>
      </c>
      <c r="M1693">
        <v>33.74</v>
      </c>
      <c r="N1693">
        <v>25.77</v>
      </c>
    </row>
    <row r="1694" spans="1:14">
      <c r="A1694" s="1" t="s">
        <v>1706</v>
      </c>
      <c r="B1694">
        <f>HYPERLINK("https://www.suredividend.com/sure-analysis-research-database/","Turning Point Brands Inc")</f>
        <v>0</v>
      </c>
      <c r="C1694" t="s">
        <v>1928</v>
      </c>
      <c r="D1694">
        <v>21.48</v>
      </c>
      <c r="E1694">
        <v>0.011128104994467</v>
      </c>
      <c r="F1694">
        <v>0.09090909090909083</v>
      </c>
      <c r="G1694">
        <v>0.08447177119769855</v>
      </c>
      <c r="H1694">
        <v>0.239031695281167</v>
      </c>
      <c r="I1694">
        <v>377.274247</v>
      </c>
      <c r="J1694">
        <v>0</v>
      </c>
      <c r="K1694" t="s">
        <v>1921</v>
      </c>
      <c r="L1694">
        <v>0.5558068144782381</v>
      </c>
      <c r="M1694">
        <v>38.26</v>
      </c>
      <c r="N1694">
        <v>18.76</v>
      </c>
    </row>
    <row r="1695" spans="1:14">
      <c r="A1695" s="1" t="s">
        <v>1707</v>
      </c>
      <c r="B1695">
        <f>HYPERLINK("https://www.suredividend.com/sure-analysis-research-database/","Tutor Perini Corp")</f>
        <v>0</v>
      </c>
      <c r="C1695" t="s">
        <v>1924</v>
      </c>
      <c r="D1695">
        <v>7.89</v>
      </c>
      <c r="E1695">
        <v>0</v>
      </c>
      <c r="F1695" t="s">
        <v>1921</v>
      </c>
      <c r="G1695" t="s">
        <v>1921</v>
      </c>
      <c r="H1695">
        <v>0</v>
      </c>
      <c r="I1695">
        <v>406.218354</v>
      </c>
      <c r="J1695" t="s">
        <v>1921</v>
      </c>
      <c r="K1695">
        <v>-0</v>
      </c>
      <c r="L1695">
        <v>0.88051979922886</v>
      </c>
      <c r="M1695">
        <v>12.78</v>
      </c>
      <c r="N1695">
        <v>5.4</v>
      </c>
    </row>
    <row r="1696" spans="1:14">
      <c r="A1696" s="1" t="s">
        <v>1708</v>
      </c>
      <c r="B1696">
        <f>HYPERLINK("https://www.suredividend.com/sure-analysis-research-database/","Tri Pointe Homes Inc.")</f>
        <v>0</v>
      </c>
      <c r="C1696" t="s">
        <v>1927</v>
      </c>
      <c r="D1696">
        <v>19.99</v>
      </c>
      <c r="E1696">
        <v>0</v>
      </c>
      <c r="F1696" t="s">
        <v>1921</v>
      </c>
      <c r="G1696" t="s">
        <v>1921</v>
      </c>
      <c r="H1696">
        <v>0</v>
      </c>
      <c r="I1696">
        <v>2017.27002</v>
      </c>
      <c r="J1696">
        <v>3.875437816712677</v>
      </c>
      <c r="K1696">
        <v>0</v>
      </c>
      <c r="L1696">
        <v>1.266703574041719</v>
      </c>
      <c r="M1696">
        <v>27.54</v>
      </c>
      <c r="N1696">
        <v>14.59</v>
      </c>
    </row>
    <row r="1697" spans="1:14">
      <c r="A1697" s="1" t="s">
        <v>1709</v>
      </c>
      <c r="B1697">
        <f>HYPERLINK("https://www.suredividend.com/sure-analysis-research-database/","TPI Composites Inc")</f>
        <v>0</v>
      </c>
      <c r="C1697" t="s">
        <v>1924</v>
      </c>
      <c r="D1697">
        <v>12.53</v>
      </c>
      <c r="E1697">
        <v>0</v>
      </c>
      <c r="F1697" t="s">
        <v>1921</v>
      </c>
      <c r="G1697" t="s">
        <v>1921</v>
      </c>
      <c r="H1697">
        <v>0</v>
      </c>
      <c r="I1697">
        <v>525.648361</v>
      </c>
      <c r="J1697" t="s">
        <v>1921</v>
      </c>
      <c r="K1697">
        <v>-0</v>
      </c>
      <c r="L1697">
        <v>1.51080619023023</v>
      </c>
      <c r="M1697">
        <v>25.05</v>
      </c>
      <c r="N1697">
        <v>8.460000000000001</v>
      </c>
    </row>
    <row r="1698" spans="1:14">
      <c r="A1698" s="1" t="s">
        <v>1710</v>
      </c>
      <c r="B1698">
        <f>HYPERLINK("https://www.suredividend.com/sure-analysis-research-database/","Turning Point Therapeutics Inc")</f>
        <v>0</v>
      </c>
      <c r="C1698" t="s">
        <v>1922</v>
      </c>
      <c r="D1698">
        <v>76.01000000000001</v>
      </c>
      <c r="E1698">
        <v>0</v>
      </c>
      <c r="F1698" t="s">
        <v>1921</v>
      </c>
      <c r="G1698" t="s">
        <v>1921</v>
      </c>
      <c r="H1698">
        <v>0</v>
      </c>
      <c r="I1698">
        <v>0</v>
      </c>
      <c r="J1698">
        <v>0</v>
      </c>
      <c r="K1698" t="s">
        <v>1921</v>
      </c>
    </row>
    <row r="1699" spans="1:14">
      <c r="A1699" s="1" t="s">
        <v>1711</v>
      </c>
      <c r="B1699">
        <f>HYPERLINK("https://www.suredividend.com/sure-analysis-TR/","Tootsie Roll Industries, Inc.")</f>
        <v>0</v>
      </c>
      <c r="C1699" t="s">
        <v>1928</v>
      </c>
      <c r="D1699">
        <v>45.28</v>
      </c>
      <c r="E1699">
        <v>0.007950530035335688</v>
      </c>
      <c r="F1699">
        <v>0</v>
      </c>
      <c r="G1699">
        <v>0</v>
      </c>
      <c r="H1699">
        <v>0.358707035729033</v>
      </c>
      <c r="I1699">
        <v>1824.502902</v>
      </c>
      <c r="J1699">
        <v>25.83366940545133</v>
      </c>
      <c r="K1699">
        <v>0.3516735644402285</v>
      </c>
      <c r="L1699">
        <v>0.417705163813585</v>
      </c>
      <c r="M1699">
        <v>46.7</v>
      </c>
      <c r="N1699">
        <v>30.81</v>
      </c>
    </row>
    <row r="1700" spans="1:14">
      <c r="A1700" s="1" t="s">
        <v>1712</v>
      </c>
      <c r="B1700">
        <f>HYPERLINK("https://www.suredividend.com/sure-analysis-research-database/","Tejon Ranch Co.")</f>
        <v>0</v>
      </c>
      <c r="C1700" t="s">
        <v>1924</v>
      </c>
      <c r="D1700">
        <v>19.36</v>
      </c>
      <c r="E1700">
        <v>0</v>
      </c>
      <c r="F1700" t="s">
        <v>1921</v>
      </c>
      <c r="G1700" t="s">
        <v>1921</v>
      </c>
      <c r="H1700">
        <v>0</v>
      </c>
      <c r="I1700">
        <v>513.0327590000001</v>
      </c>
      <c r="J1700">
        <v>29.85178397300128</v>
      </c>
      <c r="K1700">
        <v>0</v>
      </c>
      <c r="L1700">
        <v>0.664025186840083</v>
      </c>
      <c r="M1700">
        <v>20.14</v>
      </c>
      <c r="N1700">
        <v>14.31</v>
      </c>
    </row>
    <row r="1701" spans="1:14">
      <c r="A1701" s="1" t="s">
        <v>1713</v>
      </c>
      <c r="B1701">
        <f>HYPERLINK("https://www.suredividend.com/sure-analysis-research-database/","Entrada Therapeutics Inc")</f>
        <v>0</v>
      </c>
      <c r="C1701" t="s">
        <v>1921</v>
      </c>
      <c r="D1701">
        <v>15.23</v>
      </c>
      <c r="E1701">
        <v>0</v>
      </c>
      <c r="F1701" t="s">
        <v>1921</v>
      </c>
      <c r="G1701" t="s">
        <v>1921</v>
      </c>
      <c r="H1701">
        <v>0</v>
      </c>
      <c r="I1701">
        <v>478.315893</v>
      </c>
      <c r="J1701">
        <v>0</v>
      </c>
      <c r="K1701" t="s">
        <v>1921</v>
      </c>
      <c r="L1701">
        <v>0.9500582349054081</v>
      </c>
      <c r="M1701">
        <v>24.38</v>
      </c>
      <c r="N1701">
        <v>5.12</v>
      </c>
    </row>
    <row r="1702" spans="1:14">
      <c r="A1702" s="1" t="s">
        <v>1714</v>
      </c>
      <c r="B1702">
        <f>HYPERLINK("https://www.suredividend.com/sure-analysis-research-database/","LendingTree Inc.")</f>
        <v>0</v>
      </c>
      <c r="C1702" t="s">
        <v>1923</v>
      </c>
      <c r="D1702">
        <v>24.55</v>
      </c>
      <c r="E1702">
        <v>0</v>
      </c>
      <c r="F1702" t="s">
        <v>1921</v>
      </c>
      <c r="G1702" t="s">
        <v>1921</v>
      </c>
      <c r="H1702">
        <v>0</v>
      </c>
      <c r="I1702">
        <v>313.887339</v>
      </c>
      <c r="J1702" t="s">
        <v>1921</v>
      </c>
      <c r="K1702">
        <v>-0</v>
      </c>
      <c r="L1702">
        <v>2.035217513517003</v>
      </c>
      <c r="M1702">
        <v>143.09</v>
      </c>
      <c r="N1702">
        <v>17.6</v>
      </c>
    </row>
    <row r="1703" spans="1:14">
      <c r="A1703" s="1" t="s">
        <v>1715</v>
      </c>
      <c r="B1703">
        <f>HYPERLINK("https://www.suredividend.com/sure-analysis-research-database/","Tabula Rasa HealthCare Inc")</f>
        <v>0</v>
      </c>
      <c r="C1703" t="s">
        <v>1922</v>
      </c>
      <c r="D1703">
        <v>4.79</v>
      </c>
      <c r="E1703">
        <v>0</v>
      </c>
      <c r="F1703" t="s">
        <v>1921</v>
      </c>
      <c r="G1703" t="s">
        <v>1921</v>
      </c>
      <c r="H1703">
        <v>0</v>
      </c>
      <c r="I1703">
        <v>129.925335</v>
      </c>
      <c r="J1703">
        <v>0</v>
      </c>
      <c r="K1703" t="s">
        <v>1921</v>
      </c>
      <c r="L1703">
        <v>1.710851590397551</v>
      </c>
      <c r="M1703">
        <v>16.25</v>
      </c>
      <c r="N1703">
        <v>2.09</v>
      </c>
    </row>
    <row r="1704" spans="1:14">
      <c r="A1704" s="1" t="s">
        <v>1716</v>
      </c>
      <c r="B1704">
        <f>HYPERLINK("https://www.suredividend.com/sure-analysis-research-database/","Trustmark Corp.")</f>
        <v>0</v>
      </c>
      <c r="C1704" t="s">
        <v>1923</v>
      </c>
      <c r="D1704">
        <v>34.74</v>
      </c>
      <c r="E1704">
        <v>0.026261775823646</v>
      </c>
      <c r="F1704">
        <v>0</v>
      </c>
      <c r="G1704">
        <v>0</v>
      </c>
      <c r="H1704">
        <v>0.9123340921134681</v>
      </c>
      <c r="I1704">
        <v>2117.537235</v>
      </c>
      <c r="J1704">
        <v>16.02107280936961</v>
      </c>
      <c r="K1704">
        <v>0.4263243421090972</v>
      </c>
      <c r="L1704">
        <v>0.6110366216474881</v>
      </c>
      <c r="M1704">
        <v>38.23</v>
      </c>
      <c r="N1704">
        <v>26.31</v>
      </c>
    </row>
    <row r="1705" spans="1:14">
      <c r="A1705" s="1" t="s">
        <v>1717</v>
      </c>
      <c r="B1705">
        <f>HYPERLINK("https://www.suredividend.com/sure-analysis-TRN/","Trinity Industries, Inc.")</f>
        <v>0</v>
      </c>
      <c r="C1705" t="s">
        <v>1924</v>
      </c>
      <c r="D1705">
        <v>26.63</v>
      </c>
      <c r="E1705">
        <v>0.03454750281637251</v>
      </c>
      <c r="F1705">
        <v>0.09523809523809534</v>
      </c>
      <c r="G1705">
        <v>0.1208742617958329</v>
      </c>
      <c r="H1705">
        <v>0.9065080427652941</v>
      </c>
      <c r="I1705">
        <v>2167.771716</v>
      </c>
      <c r="J1705">
        <v>13.31555108396806</v>
      </c>
      <c r="K1705">
        <v>0.4900043474406995</v>
      </c>
      <c r="L1705">
        <v>0.9841395977945641</v>
      </c>
      <c r="M1705">
        <v>34.37</v>
      </c>
      <c r="N1705">
        <v>20.73</v>
      </c>
    </row>
    <row r="1706" spans="1:14">
      <c r="A1706" s="1" t="s">
        <v>1718</v>
      </c>
      <c r="B1706">
        <f>HYPERLINK("https://www.suredividend.com/sure-analysis-research-database/","Terreno Realty Corp")</f>
        <v>0</v>
      </c>
      <c r="C1706" t="s">
        <v>1929</v>
      </c>
      <c r="D1706">
        <v>58.44</v>
      </c>
      <c r="E1706">
        <v>0.025073542530376</v>
      </c>
      <c r="F1706">
        <v>0.1764705882352942</v>
      </c>
      <c r="G1706">
        <v>0.1270092020979254</v>
      </c>
      <c r="H1706">
        <v>1.465297825475194</v>
      </c>
      <c r="I1706">
        <v>4445.339643</v>
      </c>
      <c r="J1706">
        <v>26.04136800618618</v>
      </c>
      <c r="K1706">
        <v>0.6426744848575412</v>
      </c>
      <c r="L1706">
        <v>0.8786855405434311</v>
      </c>
      <c r="M1706">
        <v>79.36</v>
      </c>
      <c r="N1706">
        <v>50</v>
      </c>
    </row>
    <row r="1707" spans="1:14">
      <c r="A1707" s="1" t="s">
        <v>1719</v>
      </c>
      <c r="B1707">
        <f>HYPERLINK("https://www.suredividend.com/sure-analysis-research-database/","Transcat Inc")</f>
        <v>0</v>
      </c>
      <c r="C1707" t="s">
        <v>1924</v>
      </c>
      <c r="D1707">
        <v>77.90000000000001</v>
      </c>
      <c r="E1707">
        <v>0</v>
      </c>
      <c r="F1707" t="s">
        <v>1921</v>
      </c>
      <c r="G1707" t="s">
        <v>1921</v>
      </c>
      <c r="H1707">
        <v>0</v>
      </c>
      <c r="I1707">
        <v>588.791648</v>
      </c>
      <c r="J1707">
        <v>0</v>
      </c>
      <c r="K1707" t="s">
        <v>1921</v>
      </c>
      <c r="L1707">
        <v>0.928098371650074</v>
      </c>
      <c r="M1707">
        <v>95.79000000000001</v>
      </c>
      <c r="N1707">
        <v>50.32</v>
      </c>
    </row>
    <row r="1708" spans="1:14">
      <c r="A1708" s="1" t="s">
        <v>1720</v>
      </c>
      <c r="B1708">
        <f>HYPERLINK("https://www.suredividend.com/sure-analysis-research-database/","Tronox Holdings plc")</f>
        <v>0</v>
      </c>
      <c r="C1708" t="s">
        <v>1925</v>
      </c>
      <c r="D1708">
        <v>15.75</v>
      </c>
      <c r="E1708">
        <v>0.03102845169588</v>
      </c>
      <c r="F1708">
        <v>0</v>
      </c>
      <c r="G1708">
        <v>0.2267032046963888</v>
      </c>
      <c r="H1708">
        <v>0.488698114210123</v>
      </c>
      <c r="I1708">
        <v>2432.824884</v>
      </c>
      <c r="J1708">
        <v>0</v>
      </c>
      <c r="K1708" t="s">
        <v>1921</v>
      </c>
      <c r="L1708">
        <v>1.383184945453031</v>
      </c>
      <c r="M1708">
        <v>24.9</v>
      </c>
      <c r="N1708">
        <v>10.87</v>
      </c>
    </row>
    <row r="1709" spans="1:14">
      <c r="A1709" s="1" t="s">
        <v>1721</v>
      </c>
      <c r="B1709">
        <f>HYPERLINK("https://www.suredividend.com/sure-analysis-research-database/","Trimas Corporation")</f>
        <v>0</v>
      </c>
      <c r="C1709" t="s">
        <v>1924</v>
      </c>
      <c r="D1709">
        <v>28.55</v>
      </c>
      <c r="E1709">
        <v>0.005591565676603001</v>
      </c>
      <c r="F1709" t="s">
        <v>1921</v>
      </c>
      <c r="G1709" t="s">
        <v>1921</v>
      </c>
      <c r="H1709">
        <v>0.159639200067042</v>
      </c>
      <c r="I1709">
        <v>1198.092071</v>
      </c>
      <c r="J1709">
        <v>19.91840516708229</v>
      </c>
      <c r="K1709">
        <v>0.1132192908276894</v>
      </c>
      <c r="L1709">
        <v>0.8194939282615241</v>
      </c>
      <c r="M1709">
        <v>36.13</v>
      </c>
      <c r="N1709">
        <v>21.38</v>
      </c>
    </row>
    <row r="1710" spans="1:14">
      <c r="A1710" s="1" t="s">
        <v>1722</v>
      </c>
      <c r="B1710">
        <f>HYPERLINK("https://www.suredividend.com/sure-analysis-TRST/","Trustco Bank Corp.")</f>
        <v>0</v>
      </c>
      <c r="C1710" t="s">
        <v>1923</v>
      </c>
      <c r="D1710">
        <v>37.36</v>
      </c>
      <c r="E1710">
        <v>0.03747323340471092</v>
      </c>
      <c r="F1710">
        <v>0.02857142857142847</v>
      </c>
      <c r="G1710">
        <v>0.4055510918982099</v>
      </c>
      <c r="H1710">
        <v>1.389256855595489</v>
      </c>
      <c r="I1710">
        <v>711.774314</v>
      </c>
      <c r="J1710">
        <v>10.08678968327074</v>
      </c>
      <c r="K1710">
        <v>0.3775154498900785</v>
      </c>
      <c r="L1710">
        <v>0.431261982960858</v>
      </c>
      <c r="M1710">
        <v>39</v>
      </c>
      <c r="N1710">
        <v>28.92</v>
      </c>
    </row>
    <row r="1711" spans="1:14">
      <c r="A1711" s="1" t="s">
        <v>1723</v>
      </c>
      <c r="B1711">
        <f>HYPERLINK("https://www.suredividend.com/sure-analysis-TRTN/","Triton International Ltd")</f>
        <v>0</v>
      </c>
      <c r="C1711" t="s">
        <v>1924</v>
      </c>
      <c r="D1711">
        <v>70.81</v>
      </c>
      <c r="E1711">
        <v>0.03954243750882643</v>
      </c>
      <c r="F1711">
        <v>0.07692307692307709</v>
      </c>
      <c r="G1711">
        <v>0.09238846414037294</v>
      </c>
      <c r="H1711">
        <v>2.608979881643368</v>
      </c>
      <c r="I1711">
        <v>4164.9559</v>
      </c>
      <c r="J1711">
        <v>5.784211089040298</v>
      </c>
      <c r="K1711">
        <v>0.2325294012159864</v>
      </c>
      <c r="L1711">
        <v>0.9503916736838041</v>
      </c>
      <c r="M1711">
        <v>71.5</v>
      </c>
      <c r="N1711">
        <v>47.6</v>
      </c>
    </row>
    <row r="1712" spans="1:14">
      <c r="A1712" s="1" t="s">
        <v>1724</v>
      </c>
      <c r="B1712">
        <f>HYPERLINK("https://www.suredividend.com/sure-analysis-research-database/","TPG RE Finance Trust Inc")</f>
        <v>0</v>
      </c>
      <c r="C1712" t="s">
        <v>1929</v>
      </c>
      <c r="D1712">
        <v>7.33</v>
      </c>
      <c r="E1712">
        <v>0.125073080720498</v>
      </c>
      <c r="F1712">
        <v>0</v>
      </c>
      <c r="G1712">
        <v>-0.1100849382703697</v>
      </c>
      <c r="H1712">
        <v>0.9167856816812571</v>
      </c>
      <c r="I1712">
        <v>567.390525</v>
      </c>
      <c r="J1712" t="s">
        <v>1921</v>
      </c>
      <c r="K1712" t="s">
        <v>1921</v>
      </c>
      <c r="L1712">
        <v>0.9376917600314011</v>
      </c>
      <c r="M1712">
        <v>12</v>
      </c>
      <c r="N1712">
        <v>6.1</v>
      </c>
    </row>
    <row r="1713" spans="1:14">
      <c r="A1713" s="1" t="s">
        <v>1725</v>
      </c>
      <c r="B1713">
        <f>HYPERLINK("https://www.suredividend.com/sure-analysis-research-database/","Trupanion Inc")</f>
        <v>0</v>
      </c>
      <c r="C1713" t="s">
        <v>1923</v>
      </c>
      <c r="D1713">
        <v>48.21</v>
      </c>
      <c r="E1713">
        <v>0</v>
      </c>
      <c r="F1713" t="s">
        <v>1921</v>
      </c>
      <c r="G1713" t="s">
        <v>1921</v>
      </c>
      <c r="H1713">
        <v>0</v>
      </c>
      <c r="I1713">
        <v>1971.000959</v>
      </c>
      <c r="J1713" t="s">
        <v>1921</v>
      </c>
      <c r="K1713">
        <v>-0</v>
      </c>
      <c r="L1713">
        <v>2.093932970206473</v>
      </c>
      <c r="M1713">
        <v>111.97</v>
      </c>
      <c r="N1713">
        <v>40.77</v>
      </c>
    </row>
    <row r="1714" spans="1:14">
      <c r="A1714" s="1" t="s">
        <v>1726</v>
      </c>
      <c r="B1714">
        <f>HYPERLINK("https://www.suredividend.com/sure-analysis-research-database/","Trevena Inc")</f>
        <v>0</v>
      </c>
      <c r="C1714" t="s">
        <v>1922</v>
      </c>
      <c r="D1714">
        <v>1.78</v>
      </c>
      <c r="E1714">
        <v>0</v>
      </c>
      <c r="F1714" t="s">
        <v>1921</v>
      </c>
      <c r="G1714" t="s">
        <v>1921</v>
      </c>
      <c r="H1714">
        <v>0</v>
      </c>
      <c r="I1714">
        <v>309.161379</v>
      </c>
      <c r="J1714">
        <v>0</v>
      </c>
      <c r="K1714" t="s">
        <v>1921</v>
      </c>
      <c r="L1714">
        <v>0.8959038639683361</v>
      </c>
      <c r="M1714">
        <v>16.09</v>
      </c>
      <c r="N1714">
        <v>1.3</v>
      </c>
    </row>
    <row r="1715" spans="1:14">
      <c r="A1715" s="1" t="s">
        <v>1727</v>
      </c>
      <c r="B1715">
        <f>HYPERLINK("https://www.suredividend.com/sure-analysis-research-database/","Telesat Corp")</f>
        <v>0</v>
      </c>
      <c r="C1715" t="s">
        <v>1921</v>
      </c>
      <c r="D1715">
        <v>9.6</v>
      </c>
      <c r="E1715">
        <v>0</v>
      </c>
      <c r="F1715" t="s">
        <v>1921</v>
      </c>
      <c r="G1715" t="s">
        <v>1921</v>
      </c>
      <c r="H1715">
        <v>0</v>
      </c>
      <c r="I1715">
        <v>119.945136</v>
      </c>
      <c r="J1715">
        <v>0</v>
      </c>
      <c r="K1715" t="s">
        <v>1921</v>
      </c>
      <c r="L1715">
        <v>1.22011469200274</v>
      </c>
      <c r="M1715">
        <v>28.8</v>
      </c>
      <c r="N1715">
        <v>6</v>
      </c>
    </row>
    <row r="1716" spans="1:14">
      <c r="A1716" s="1" t="s">
        <v>1728</v>
      </c>
      <c r="B1716">
        <f>HYPERLINK("https://www.suredividend.com/sure-analysis-research-database/","Tristate Capital Holdings Inc")</f>
        <v>0</v>
      </c>
      <c r="C1716" t="s">
        <v>1923</v>
      </c>
      <c r="D1716">
        <v>30.58</v>
      </c>
      <c r="E1716">
        <v>0</v>
      </c>
      <c r="F1716" t="s">
        <v>1921</v>
      </c>
      <c r="G1716" t="s">
        <v>1921</v>
      </c>
      <c r="H1716">
        <v>0</v>
      </c>
      <c r="I1716">
        <v>0</v>
      </c>
      <c r="J1716">
        <v>0</v>
      </c>
      <c r="K1716">
        <v>0</v>
      </c>
    </row>
    <row r="1717" spans="1:14">
      <c r="A1717" s="1" t="s">
        <v>1729</v>
      </c>
      <c r="B1717">
        <f>HYPERLINK("https://www.suredividend.com/sure-analysis-research-database/","Trinseo PLC")</f>
        <v>0</v>
      </c>
      <c r="C1717" t="s">
        <v>1925</v>
      </c>
      <c r="D1717">
        <v>25.72</v>
      </c>
      <c r="E1717">
        <v>0.048761343229985</v>
      </c>
      <c r="F1717">
        <v>0</v>
      </c>
      <c r="G1717">
        <v>-0.02328131613882611</v>
      </c>
      <c r="H1717">
        <v>1.254141747875238</v>
      </c>
      <c r="I1717">
        <v>899.524773</v>
      </c>
      <c r="J1717">
        <v>15.48235409363167</v>
      </c>
      <c r="K1717">
        <v>0.8091237083066051</v>
      </c>
      <c r="L1717">
        <v>1.430293845509831</v>
      </c>
      <c r="M1717">
        <v>57.09</v>
      </c>
      <c r="N1717">
        <v>17.3</v>
      </c>
    </row>
    <row r="1718" spans="1:14">
      <c r="A1718" s="1" t="s">
        <v>1730</v>
      </c>
      <c r="B1718">
        <f>HYPERLINK("https://www.suredividend.com/sure-analysis-research-database/","Taysha Gene Therapies Inc")</f>
        <v>0</v>
      </c>
      <c r="C1718" t="s">
        <v>1921</v>
      </c>
      <c r="D1718">
        <v>1.97</v>
      </c>
      <c r="E1718">
        <v>0</v>
      </c>
      <c r="F1718" t="s">
        <v>1921</v>
      </c>
      <c r="G1718" t="s">
        <v>1921</v>
      </c>
      <c r="H1718">
        <v>0</v>
      </c>
      <c r="I1718">
        <v>123.011294</v>
      </c>
      <c r="J1718">
        <v>0</v>
      </c>
      <c r="K1718" t="s">
        <v>1921</v>
      </c>
      <c r="L1718">
        <v>2.090978557809737</v>
      </c>
      <c r="M1718">
        <v>10.8</v>
      </c>
      <c r="N1718">
        <v>1.35</v>
      </c>
    </row>
    <row r="1719" spans="1:14">
      <c r="A1719" s="1" t="s">
        <v>1731</v>
      </c>
      <c r="B1719">
        <f>HYPERLINK("https://www.suredividend.com/sure-analysis-research-database/","2seventy bio Inc")</f>
        <v>0</v>
      </c>
      <c r="C1719" t="s">
        <v>1921</v>
      </c>
      <c r="D1719">
        <v>10.32</v>
      </c>
      <c r="E1719">
        <v>0</v>
      </c>
      <c r="F1719" t="s">
        <v>1921</v>
      </c>
      <c r="G1719" t="s">
        <v>1921</v>
      </c>
      <c r="H1719">
        <v>0</v>
      </c>
      <c r="I1719">
        <v>391.300272</v>
      </c>
      <c r="J1719">
        <v>0</v>
      </c>
      <c r="K1719" t="s">
        <v>1921</v>
      </c>
      <c r="L1719">
        <v>1.737710916298396</v>
      </c>
      <c r="M1719">
        <v>24.7</v>
      </c>
      <c r="N1719">
        <v>8.44</v>
      </c>
    </row>
    <row r="1720" spans="1:14">
      <c r="A1720" s="1" t="s">
        <v>1732</v>
      </c>
      <c r="B1720">
        <f>HYPERLINK("https://www.suredividend.com/sure-analysis-research-database/","Tattooed Chef Inc")</f>
        <v>0</v>
      </c>
      <c r="C1720" t="s">
        <v>1921</v>
      </c>
      <c r="D1720">
        <v>1.43</v>
      </c>
      <c r="E1720">
        <v>0</v>
      </c>
      <c r="F1720" t="s">
        <v>1921</v>
      </c>
      <c r="G1720" t="s">
        <v>1921</v>
      </c>
      <c r="H1720">
        <v>0</v>
      </c>
      <c r="I1720">
        <v>117.917518</v>
      </c>
      <c r="J1720" t="s">
        <v>1921</v>
      </c>
      <c r="K1720">
        <v>-0</v>
      </c>
      <c r="L1720">
        <v>1.529558493868055</v>
      </c>
      <c r="M1720">
        <v>14.8</v>
      </c>
      <c r="N1720">
        <v>1.05</v>
      </c>
    </row>
    <row r="1721" spans="1:14">
      <c r="A1721" s="1" t="s">
        <v>1733</v>
      </c>
      <c r="B1721">
        <f>HYPERLINK("https://www.suredividend.com/sure-analysis-research-database/","TTEC Holdings Inc")</f>
        <v>0</v>
      </c>
      <c r="C1721" t="s">
        <v>1920</v>
      </c>
      <c r="D1721">
        <v>45.27</v>
      </c>
      <c r="E1721">
        <v>0.022413598457896</v>
      </c>
      <c r="F1721" t="s">
        <v>1921</v>
      </c>
      <c r="G1721" t="s">
        <v>1921</v>
      </c>
      <c r="H1721">
        <v>1.014663602188972</v>
      </c>
      <c r="I1721">
        <v>2137.627082</v>
      </c>
      <c r="J1721">
        <v>19.49767028676974</v>
      </c>
      <c r="K1721">
        <v>0.4392483126359186</v>
      </c>
      <c r="L1721">
        <v>1.206277754940695</v>
      </c>
      <c r="M1721">
        <v>89.5</v>
      </c>
      <c r="N1721">
        <v>39.5</v>
      </c>
    </row>
    <row r="1722" spans="1:14">
      <c r="A1722" s="1" t="s">
        <v>1734</v>
      </c>
      <c r="B1722">
        <f>HYPERLINK("https://www.suredividend.com/sure-analysis-research-database/","Tetra Tech, Inc.")</f>
        <v>0</v>
      </c>
      <c r="C1722" t="s">
        <v>1924</v>
      </c>
      <c r="D1722">
        <v>138.52</v>
      </c>
      <c r="E1722">
        <v>0.00641048360668</v>
      </c>
      <c r="F1722">
        <v>0.1499999999999999</v>
      </c>
      <c r="G1722">
        <v>0.1812601880431084</v>
      </c>
      <c r="H1722">
        <v>0.8879801891973461</v>
      </c>
      <c r="I1722">
        <v>7338.947928</v>
      </c>
      <c r="J1722">
        <v>27.89148856383848</v>
      </c>
      <c r="K1722">
        <v>0.1827119730858737</v>
      </c>
      <c r="L1722">
        <v>1.121382208590694</v>
      </c>
      <c r="M1722">
        <v>169.42</v>
      </c>
      <c r="N1722">
        <v>118.19</v>
      </c>
    </row>
    <row r="1723" spans="1:14">
      <c r="A1723" s="1" t="s">
        <v>1735</v>
      </c>
      <c r="B1723">
        <f>HYPERLINK("https://www.suredividend.com/sure-analysis-research-database/","Techtarget Inc.")</f>
        <v>0</v>
      </c>
      <c r="C1723" t="s">
        <v>1931</v>
      </c>
      <c r="D1723">
        <v>45.57</v>
      </c>
      <c r="E1723">
        <v>0</v>
      </c>
      <c r="F1723" t="s">
        <v>1921</v>
      </c>
      <c r="G1723" t="s">
        <v>1921</v>
      </c>
      <c r="H1723">
        <v>0</v>
      </c>
      <c r="I1723">
        <v>1336.272806</v>
      </c>
      <c r="J1723">
        <v>72.40708785694935</v>
      </c>
      <c r="K1723">
        <v>0</v>
      </c>
      <c r="L1723">
        <v>1.206807337415028</v>
      </c>
      <c r="M1723">
        <v>91.95</v>
      </c>
      <c r="N1723">
        <v>41.79</v>
      </c>
    </row>
    <row r="1724" spans="1:14">
      <c r="A1724" s="1" t="s">
        <v>1736</v>
      </c>
      <c r="B1724">
        <f>HYPERLINK("https://www.suredividend.com/sure-analysis-research-database/","Tetra Technologies, Inc.")</f>
        <v>0</v>
      </c>
      <c r="C1724" t="s">
        <v>1926</v>
      </c>
      <c r="D1724">
        <v>3.61</v>
      </c>
      <c r="E1724">
        <v>0</v>
      </c>
      <c r="F1724" t="s">
        <v>1921</v>
      </c>
      <c r="G1724" t="s">
        <v>1921</v>
      </c>
      <c r="H1724">
        <v>0</v>
      </c>
      <c r="I1724">
        <v>464.317568</v>
      </c>
      <c r="J1724">
        <v>53.97786192164613</v>
      </c>
      <c r="K1724">
        <v>0</v>
      </c>
      <c r="L1724">
        <v>1.055923028067634</v>
      </c>
      <c r="M1724">
        <v>5.82</v>
      </c>
      <c r="N1724">
        <v>2.7</v>
      </c>
    </row>
    <row r="1725" spans="1:14">
      <c r="A1725" s="1" t="s">
        <v>1737</v>
      </c>
      <c r="B1725">
        <f>HYPERLINK("https://www.suredividend.com/sure-analysis-research-database/","TTM Technologies Inc")</f>
        <v>0</v>
      </c>
      <c r="C1725" t="s">
        <v>1920</v>
      </c>
      <c r="D1725">
        <v>16.08</v>
      </c>
      <c r="E1725">
        <v>0</v>
      </c>
      <c r="F1725" t="s">
        <v>1921</v>
      </c>
      <c r="G1725" t="s">
        <v>1921</v>
      </c>
      <c r="H1725">
        <v>0</v>
      </c>
      <c r="I1725">
        <v>1643.475294</v>
      </c>
      <c r="J1725">
        <v>16.95125776407125</v>
      </c>
      <c r="K1725">
        <v>0</v>
      </c>
      <c r="L1725">
        <v>1.215278242394666</v>
      </c>
      <c r="M1725">
        <v>17.49</v>
      </c>
      <c r="N1725">
        <v>9.76</v>
      </c>
    </row>
    <row r="1726" spans="1:14">
      <c r="A1726" s="1" t="s">
        <v>1738</v>
      </c>
      <c r="B1726">
        <f>HYPERLINK("https://www.suredividend.com/sure-analysis-research-database/","Tupperware Brands Corporation")</f>
        <v>0</v>
      </c>
      <c r="C1726" t="s">
        <v>1927</v>
      </c>
      <c r="D1726">
        <v>4.77</v>
      </c>
      <c r="E1726">
        <v>0</v>
      </c>
      <c r="F1726" t="s">
        <v>1921</v>
      </c>
      <c r="G1726" t="s">
        <v>1921</v>
      </c>
      <c r="H1726">
        <v>0</v>
      </c>
      <c r="I1726">
        <v>212.160184</v>
      </c>
      <c r="J1726">
        <v>5.087774197122302</v>
      </c>
      <c r="K1726">
        <v>0</v>
      </c>
      <c r="L1726">
        <v>1.969688915541234</v>
      </c>
      <c r="M1726">
        <v>21.1</v>
      </c>
      <c r="N1726">
        <v>3.75</v>
      </c>
    </row>
    <row r="1727" spans="1:14">
      <c r="A1727" s="1" t="s">
        <v>1739</v>
      </c>
      <c r="B1727">
        <f>HYPERLINK("https://www.suredividend.com/sure-analysis-research-database/","Travere Therapeutics Inc")</f>
        <v>0</v>
      </c>
      <c r="C1727" t="s">
        <v>1921</v>
      </c>
      <c r="D1727">
        <v>19.63</v>
      </c>
      <c r="E1727">
        <v>0</v>
      </c>
      <c r="F1727" t="s">
        <v>1921</v>
      </c>
      <c r="G1727" t="s">
        <v>1921</v>
      </c>
      <c r="H1727">
        <v>0</v>
      </c>
      <c r="I1727">
        <v>1259.727179</v>
      </c>
      <c r="J1727">
        <v>0</v>
      </c>
      <c r="K1727" t="s">
        <v>1921</v>
      </c>
      <c r="L1727">
        <v>1.012956184600663</v>
      </c>
      <c r="M1727">
        <v>30.35</v>
      </c>
      <c r="N1727">
        <v>17.97</v>
      </c>
    </row>
    <row r="1728" spans="1:14">
      <c r="A1728" s="1" t="s">
        <v>1740</v>
      </c>
      <c r="B1728">
        <f>HYPERLINK("https://www.suredividend.com/sure-analysis-research-database/","Tivity Health Inc")</f>
        <v>0</v>
      </c>
      <c r="C1728" t="s">
        <v>1922</v>
      </c>
      <c r="D1728">
        <v>32.5</v>
      </c>
      <c r="E1728">
        <v>0</v>
      </c>
      <c r="F1728" t="s">
        <v>1921</v>
      </c>
      <c r="G1728" t="s">
        <v>1921</v>
      </c>
      <c r="H1728">
        <v>0</v>
      </c>
      <c r="I1728">
        <v>0</v>
      </c>
      <c r="J1728">
        <v>0</v>
      </c>
      <c r="K1728">
        <v>0</v>
      </c>
    </row>
    <row r="1729" spans="1:14">
      <c r="A1729" s="1" t="s">
        <v>1741</v>
      </c>
      <c r="B1729">
        <f>HYPERLINK("https://www.suredividend.com/sure-analysis-research-database/","Titan International, Inc.")</f>
        <v>0</v>
      </c>
      <c r="C1729" t="s">
        <v>1924</v>
      </c>
      <c r="D1729">
        <v>15.69</v>
      </c>
      <c r="E1729">
        <v>0</v>
      </c>
      <c r="F1729" t="s">
        <v>1921</v>
      </c>
      <c r="G1729" t="s">
        <v>1921</v>
      </c>
      <c r="H1729">
        <v>0</v>
      </c>
      <c r="I1729">
        <v>986.021748</v>
      </c>
      <c r="J1729">
        <v>6.091818535092054</v>
      </c>
      <c r="K1729">
        <v>0</v>
      </c>
      <c r="L1729">
        <v>1.448843735813547</v>
      </c>
      <c r="M1729">
        <v>19.81</v>
      </c>
      <c r="N1729">
        <v>9.19</v>
      </c>
    </row>
    <row r="1730" spans="1:14">
      <c r="A1730" s="1" t="s">
        <v>1742</v>
      </c>
      <c r="B1730">
        <f>HYPERLINK("https://www.suredividend.com/sure-analysis-research-database/","Hostess Brands Inc")</f>
        <v>0</v>
      </c>
      <c r="C1730" t="s">
        <v>1928</v>
      </c>
      <c r="D1730">
        <v>23.1</v>
      </c>
      <c r="E1730">
        <v>0</v>
      </c>
      <c r="F1730" t="s">
        <v>1921</v>
      </c>
      <c r="G1730" t="s">
        <v>1921</v>
      </c>
      <c r="H1730">
        <v>0</v>
      </c>
      <c r="I1730">
        <v>3092.783625</v>
      </c>
      <c r="J1730">
        <v>18.42796399175361</v>
      </c>
      <c r="K1730">
        <v>0</v>
      </c>
      <c r="L1730">
        <v>0.472865201669269</v>
      </c>
      <c r="M1730">
        <v>29</v>
      </c>
      <c r="N1730">
        <v>18.97</v>
      </c>
    </row>
    <row r="1731" spans="1:14">
      <c r="A1731" s="1" t="s">
        <v>1743</v>
      </c>
      <c r="B1731">
        <f>HYPERLINK("https://www.suredividend.com/sure-analysis-TWO/","Two Harbors Investment Corp")</f>
        <v>0</v>
      </c>
      <c r="C1731" t="s">
        <v>1929</v>
      </c>
      <c r="D1731">
        <v>16.27</v>
      </c>
      <c r="E1731">
        <v>0.1671788567916411</v>
      </c>
      <c r="F1731">
        <v>2.529411764705883</v>
      </c>
      <c r="G1731">
        <v>0.05005169060192549</v>
      </c>
      <c r="H1731">
        <v>2.479022846198993</v>
      </c>
      <c r="I1731">
        <v>1405.313994</v>
      </c>
      <c r="J1731">
        <v>3.2593339771225</v>
      </c>
      <c r="K1731">
        <v>0.4938292522308751</v>
      </c>
      <c r="L1731">
        <v>0.9070278272795581</v>
      </c>
      <c r="M1731">
        <v>20.58</v>
      </c>
      <c r="N1731">
        <v>11.67</v>
      </c>
    </row>
    <row r="1732" spans="1:14">
      <c r="A1732" s="1" t="s">
        <v>1744</v>
      </c>
      <c r="B1732">
        <f>HYPERLINK("https://www.suredividend.com/sure-analysis-research-database/","2U Inc")</f>
        <v>0</v>
      </c>
      <c r="C1732" t="s">
        <v>1928</v>
      </c>
      <c r="D1732">
        <v>7.37</v>
      </c>
      <c r="E1732">
        <v>0</v>
      </c>
      <c r="F1732" t="s">
        <v>1921</v>
      </c>
      <c r="G1732" t="s">
        <v>1921</v>
      </c>
      <c r="H1732">
        <v>0</v>
      </c>
      <c r="I1732">
        <v>576.370076</v>
      </c>
      <c r="J1732" t="s">
        <v>1921</v>
      </c>
      <c r="K1732">
        <v>-0</v>
      </c>
      <c r="L1732">
        <v>2.347826120516631</v>
      </c>
      <c r="M1732">
        <v>19.02</v>
      </c>
      <c r="N1732">
        <v>4.7</v>
      </c>
    </row>
    <row r="1733" spans="1:14">
      <c r="A1733" s="1" t="s">
        <v>1745</v>
      </c>
      <c r="B1733">
        <f>HYPERLINK("https://www.suredividend.com/sure-analysis-research-database/","Twist Bioscience Corp")</f>
        <v>0</v>
      </c>
      <c r="C1733" t="s">
        <v>1922</v>
      </c>
      <c r="D1733">
        <v>24.65</v>
      </c>
      <c r="E1733">
        <v>0</v>
      </c>
      <c r="F1733" t="s">
        <v>1921</v>
      </c>
      <c r="G1733" t="s">
        <v>1921</v>
      </c>
      <c r="H1733">
        <v>0</v>
      </c>
      <c r="I1733">
        <v>1396.302159</v>
      </c>
      <c r="J1733" t="s">
        <v>1921</v>
      </c>
      <c r="K1733">
        <v>-0</v>
      </c>
      <c r="L1733">
        <v>2.414792160908491</v>
      </c>
      <c r="M1733">
        <v>69.25</v>
      </c>
      <c r="N1733">
        <v>21.78</v>
      </c>
    </row>
    <row r="1734" spans="1:14">
      <c r="A1734" s="1" t="s">
        <v>1746</v>
      </c>
      <c r="B1734">
        <f>HYPERLINK("https://www.suredividend.com/sure-analysis-research-database/","TherapeuticsMD Inc")</f>
        <v>0</v>
      </c>
      <c r="C1734" t="s">
        <v>1922</v>
      </c>
      <c r="D1734">
        <v>5.33</v>
      </c>
      <c r="E1734">
        <v>0</v>
      </c>
      <c r="F1734" t="s">
        <v>1921</v>
      </c>
      <c r="G1734" t="s">
        <v>1921</v>
      </c>
      <c r="H1734">
        <v>0</v>
      </c>
      <c r="I1734">
        <v>50.234674</v>
      </c>
      <c r="J1734" t="s">
        <v>1921</v>
      </c>
      <c r="K1734">
        <v>-0</v>
      </c>
      <c r="L1734">
        <v>1.060136483754028</v>
      </c>
      <c r="M1734">
        <v>23</v>
      </c>
      <c r="N1734">
        <v>1.99</v>
      </c>
    </row>
    <row r="1735" spans="1:14">
      <c r="A1735" s="1" t="s">
        <v>1747</v>
      </c>
      <c r="B1735">
        <f>HYPERLINK("https://www.suredividend.com/sure-analysis-research-database/","Texas Roadhouse Inc")</f>
        <v>0</v>
      </c>
      <c r="C1735" t="s">
        <v>1927</v>
      </c>
      <c r="D1735">
        <v>97.22</v>
      </c>
      <c r="E1735">
        <v>0.018831784260857</v>
      </c>
      <c r="F1735" t="s">
        <v>1921</v>
      </c>
      <c r="G1735" t="s">
        <v>1921</v>
      </c>
      <c r="H1735">
        <v>1.830826065840534</v>
      </c>
      <c r="I1735">
        <v>6505.452092</v>
      </c>
      <c r="J1735">
        <v>24.73490094263651</v>
      </c>
      <c r="K1735">
        <v>0.4780224714988339</v>
      </c>
      <c r="L1735">
        <v>1.029385469055548</v>
      </c>
      <c r="M1735">
        <v>101.27</v>
      </c>
      <c r="N1735">
        <v>67.87</v>
      </c>
    </row>
    <row r="1736" spans="1:14">
      <c r="A1736" s="1" t="s">
        <v>1748</v>
      </c>
      <c r="B1736">
        <f>HYPERLINK("https://www.suredividend.com/sure-analysis-research-database/","Tyra Biosciences Inc")</f>
        <v>0</v>
      </c>
      <c r="C1736" t="s">
        <v>1921</v>
      </c>
      <c r="D1736">
        <v>7.01</v>
      </c>
      <c r="E1736">
        <v>0</v>
      </c>
      <c r="F1736" t="s">
        <v>1921</v>
      </c>
      <c r="G1736" t="s">
        <v>1921</v>
      </c>
      <c r="H1736">
        <v>0</v>
      </c>
      <c r="I1736">
        <v>295.803991</v>
      </c>
      <c r="J1736">
        <v>0</v>
      </c>
      <c r="K1736" t="s">
        <v>1921</v>
      </c>
      <c r="L1736">
        <v>1.325128666536581</v>
      </c>
      <c r="M1736">
        <v>14.27</v>
      </c>
      <c r="N1736">
        <v>4.93</v>
      </c>
    </row>
    <row r="1737" spans="1:14">
      <c r="A1737" s="1" t="s">
        <v>1749</v>
      </c>
      <c r="B1737">
        <f>HYPERLINK("https://www.suredividend.com/sure-analysis-research-database/","AgEagle Aerial Systems Inc.")</f>
        <v>0</v>
      </c>
      <c r="C1737" t="s">
        <v>1924</v>
      </c>
      <c r="D1737">
        <v>0.3953</v>
      </c>
      <c r="E1737">
        <v>0</v>
      </c>
      <c r="F1737" t="s">
        <v>1921</v>
      </c>
      <c r="G1737" t="s">
        <v>1921</v>
      </c>
      <c r="H1737">
        <v>0</v>
      </c>
      <c r="I1737">
        <v>34.790017</v>
      </c>
      <c r="J1737">
        <v>0</v>
      </c>
      <c r="K1737" t="s">
        <v>1921</v>
      </c>
      <c r="L1737">
        <v>1.854782646991769</v>
      </c>
      <c r="M1737">
        <v>1.54</v>
      </c>
      <c r="N1737">
        <v>0.3</v>
      </c>
    </row>
    <row r="1738" spans="1:14">
      <c r="A1738" s="1" t="s">
        <v>1750</v>
      </c>
      <c r="B1738">
        <f>HYPERLINK("https://www.suredividend.com/sure-analysis-UBA/","Urstadt Biddle Properties, Inc.")</f>
        <v>0</v>
      </c>
      <c r="C1738" t="s">
        <v>1929</v>
      </c>
      <c r="D1738">
        <v>18.32</v>
      </c>
      <c r="E1738">
        <v>0.05458515283842795</v>
      </c>
      <c r="F1738">
        <v>0.05263157894736836</v>
      </c>
      <c r="G1738">
        <v>-0.01527435364574092</v>
      </c>
      <c r="H1738">
        <v>1.192908993540958</v>
      </c>
      <c r="I1738">
        <v>735.918484</v>
      </c>
      <c r="J1738">
        <v>29.09458702508105</v>
      </c>
      <c r="K1738">
        <v>1.81790459241231</v>
      </c>
      <c r="L1738">
        <v>0.67722540439107</v>
      </c>
      <c r="M1738">
        <v>20.05</v>
      </c>
      <c r="N1738">
        <v>14.79</v>
      </c>
    </row>
    <row r="1739" spans="1:14">
      <c r="A1739" s="1" t="s">
        <v>1751</v>
      </c>
      <c r="B1739">
        <f>HYPERLINK("https://www.suredividend.com/sure-analysis-UBSI/","United Bankshares, Inc.")</f>
        <v>0</v>
      </c>
      <c r="C1739" t="s">
        <v>1923</v>
      </c>
      <c r="D1739">
        <v>39.72</v>
      </c>
      <c r="E1739">
        <v>0.03625377643504531</v>
      </c>
      <c r="F1739">
        <v>0</v>
      </c>
      <c r="G1739">
        <v>0.01149727415513624</v>
      </c>
      <c r="H1739">
        <v>1.419924534732175</v>
      </c>
      <c r="I1739">
        <v>5348.65405</v>
      </c>
      <c r="J1739">
        <v>15.12140896339981</v>
      </c>
      <c r="K1739">
        <v>0.5398952603544391</v>
      </c>
      <c r="L1739">
        <v>0.650532927157054</v>
      </c>
      <c r="M1739">
        <v>43.76</v>
      </c>
      <c r="N1739">
        <v>32.17</v>
      </c>
    </row>
    <row r="1740" spans="1:14">
      <c r="A1740" s="1" t="s">
        <v>1752</v>
      </c>
      <c r="B1740">
        <f>HYPERLINK("https://www.suredividend.com/sure-analysis-research-database/","United Community Banks Inc")</f>
        <v>0</v>
      </c>
      <c r="C1740" t="s">
        <v>1923</v>
      </c>
      <c r="D1740">
        <v>33.78</v>
      </c>
      <c r="E1740">
        <v>0.025210733336582</v>
      </c>
      <c r="F1740">
        <v>0.09999999999999987</v>
      </c>
      <c r="G1740">
        <v>0.1288813207301975</v>
      </c>
      <c r="H1740">
        <v>0.8516185721097671</v>
      </c>
      <c r="I1740">
        <v>3587.523186</v>
      </c>
      <c r="J1740">
        <v>14.95773580402262</v>
      </c>
      <c r="K1740">
        <v>0.3639395607306697</v>
      </c>
      <c r="L1740">
        <v>0.7717009242369841</v>
      </c>
      <c r="M1740">
        <v>39.25</v>
      </c>
      <c r="N1740">
        <v>27.49</v>
      </c>
    </row>
    <row r="1741" spans="1:14">
      <c r="A1741" s="1" t="s">
        <v>1753</v>
      </c>
      <c r="B1741">
        <f>HYPERLINK("https://www.suredividend.com/sure-analysis-research-database/","Ultra Clean Hldgs Inc")</f>
        <v>0</v>
      </c>
      <c r="C1741" t="s">
        <v>1920</v>
      </c>
      <c r="D1741">
        <v>33.1</v>
      </c>
      <c r="E1741">
        <v>0</v>
      </c>
      <c r="F1741" t="s">
        <v>1921</v>
      </c>
      <c r="G1741" t="s">
        <v>1921</v>
      </c>
      <c r="H1741">
        <v>0</v>
      </c>
      <c r="I1741">
        <v>1505.93885</v>
      </c>
      <c r="J1741">
        <v>25.96446293448276</v>
      </c>
      <c r="K1741">
        <v>0</v>
      </c>
      <c r="L1741">
        <v>1.785209298752743</v>
      </c>
      <c r="M1741">
        <v>60.45</v>
      </c>
      <c r="N1741">
        <v>23.32</v>
      </c>
    </row>
    <row r="1742" spans="1:14">
      <c r="A1742" s="1" t="s">
        <v>1754</v>
      </c>
      <c r="B1742">
        <f>HYPERLINK("https://www.suredividend.com/sure-analysis-research-database/","Udemy Inc")</f>
        <v>0</v>
      </c>
      <c r="C1742" t="s">
        <v>1921</v>
      </c>
      <c r="D1742">
        <v>11.34</v>
      </c>
      <c r="E1742">
        <v>0</v>
      </c>
      <c r="F1742" t="s">
        <v>1921</v>
      </c>
      <c r="G1742" t="s">
        <v>1921</v>
      </c>
      <c r="H1742">
        <v>0</v>
      </c>
      <c r="I1742">
        <v>1602.595517</v>
      </c>
      <c r="J1742" t="s">
        <v>1921</v>
      </c>
      <c r="K1742">
        <v>-0</v>
      </c>
      <c r="L1742">
        <v>1.256146251501479</v>
      </c>
      <c r="M1742">
        <v>17.26</v>
      </c>
      <c r="N1742">
        <v>9.470000000000001</v>
      </c>
    </row>
    <row r="1743" spans="1:14">
      <c r="A1743" s="1" t="s">
        <v>1755</v>
      </c>
      <c r="B1743">
        <f>HYPERLINK("https://www.suredividend.com/sure-analysis-UE/","Urban Edge Properties")</f>
        <v>0</v>
      </c>
      <c r="C1743" t="s">
        <v>1929</v>
      </c>
      <c r="D1743">
        <v>14.41</v>
      </c>
      <c r="E1743">
        <v>0.04441360166551006</v>
      </c>
      <c r="F1743" t="s">
        <v>1921</v>
      </c>
      <c r="G1743" t="s">
        <v>1921</v>
      </c>
      <c r="H1743">
        <v>0.6301397304574721</v>
      </c>
      <c r="I1743">
        <v>1692.283612</v>
      </c>
      <c r="J1743">
        <v>22.5896843288304</v>
      </c>
      <c r="K1743">
        <v>1.032677368825749</v>
      </c>
      <c r="L1743">
        <v>0.8904189967213341</v>
      </c>
      <c r="M1743">
        <v>19.24</v>
      </c>
      <c r="N1743">
        <v>12.77</v>
      </c>
    </row>
    <row r="1744" spans="1:14">
      <c r="A1744" s="1" t="s">
        <v>1756</v>
      </c>
      <c r="B1744">
        <f>HYPERLINK("https://www.suredividend.com/sure-analysis-research-database/","Uranium Energy Corp")</f>
        <v>0</v>
      </c>
      <c r="C1744" t="s">
        <v>1926</v>
      </c>
      <c r="D1744">
        <v>3.92</v>
      </c>
      <c r="E1744">
        <v>0</v>
      </c>
      <c r="F1744" t="s">
        <v>1921</v>
      </c>
      <c r="G1744" t="s">
        <v>1921</v>
      </c>
      <c r="H1744">
        <v>0</v>
      </c>
      <c r="I1744">
        <v>1449.627925</v>
      </c>
      <c r="J1744">
        <v>0</v>
      </c>
      <c r="K1744" t="s">
        <v>1921</v>
      </c>
      <c r="L1744">
        <v>2.163782982434725</v>
      </c>
      <c r="M1744">
        <v>6.6</v>
      </c>
      <c r="N1744">
        <v>2.34</v>
      </c>
    </row>
    <row r="1745" spans="1:14">
      <c r="A1745" s="1" t="s">
        <v>1757</v>
      </c>
      <c r="B1745">
        <f>HYPERLINK("https://www.suredividend.com/sure-analysis-research-database/","Universal Electronics Inc.")</f>
        <v>0</v>
      </c>
      <c r="C1745" t="s">
        <v>1920</v>
      </c>
      <c r="D1745">
        <v>23.36</v>
      </c>
      <c r="E1745">
        <v>0</v>
      </c>
      <c r="F1745" t="s">
        <v>1921</v>
      </c>
      <c r="G1745" t="s">
        <v>1921</v>
      </c>
      <c r="H1745">
        <v>0</v>
      </c>
      <c r="I1745">
        <v>296.245867</v>
      </c>
      <c r="J1745">
        <v>301.6760355193483</v>
      </c>
      <c r="K1745">
        <v>0</v>
      </c>
      <c r="L1745">
        <v>0.8760839478698771</v>
      </c>
      <c r="M1745">
        <v>39.53</v>
      </c>
      <c r="N1745">
        <v>16.56</v>
      </c>
    </row>
    <row r="1746" spans="1:14">
      <c r="A1746" s="1" t="s">
        <v>1758</v>
      </c>
      <c r="B1746">
        <f>HYPERLINK("https://www.suredividend.com/sure-analysis-research-database/","United Fire Group Inc")</f>
        <v>0</v>
      </c>
      <c r="C1746" t="s">
        <v>1923</v>
      </c>
      <c r="D1746">
        <v>27.59</v>
      </c>
      <c r="E1746">
        <v>0.022658092140557</v>
      </c>
      <c r="F1746">
        <v>0.06666666666666665</v>
      </c>
      <c r="G1746">
        <v>-0.1239040801101997</v>
      </c>
      <c r="H1746">
        <v>0.62513676215798</v>
      </c>
      <c r="I1746">
        <v>695.19508</v>
      </c>
      <c r="J1746">
        <v>13.20508831877066</v>
      </c>
      <c r="K1746">
        <v>0.3019984358251111</v>
      </c>
      <c r="L1746">
        <v>0.479598229234345</v>
      </c>
      <c r="M1746">
        <v>36.86</v>
      </c>
      <c r="N1746">
        <v>22.48</v>
      </c>
    </row>
    <row r="1747" spans="1:14">
      <c r="A1747" s="1" t="s">
        <v>1759</v>
      </c>
      <c r="B1747">
        <f>HYPERLINK("https://www.suredividend.com/sure-analysis-research-database/","UNIFI, Inc.")</f>
        <v>0</v>
      </c>
      <c r="C1747" t="s">
        <v>1927</v>
      </c>
      <c r="D1747">
        <v>8.67</v>
      </c>
      <c r="E1747">
        <v>0</v>
      </c>
      <c r="F1747" t="s">
        <v>1921</v>
      </c>
      <c r="G1747" t="s">
        <v>1921</v>
      </c>
      <c r="H1747">
        <v>0</v>
      </c>
      <c r="I1747">
        <v>156.36938</v>
      </c>
      <c r="J1747" t="s">
        <v>1921</v>
      </c>
      <c r="K1747">
        <v>-0</v>
      </c>
      <c r="L1747">
        <v>0.8411878000374501</v>
      </c>
      <c r="M1747">
        <v>24.27</v>
      </c>
      <c r="N1747">
        <v>6.33</v>
      </c>
    </row>
    <row r="1748" spans="1:14">
      <c r="A1748" s="1" t="s">
        <v>1760</v>
      </c>
      <c r="B1748">
        <f>HYPERLINK("https://www.suredividend.com/sure-analysis-research-database/","UFP Industries Inc")</f>
        <v>0</v>
      </c>
      <c r="C1748" t="s">
        <v>1925</v>
      </c>
      <c r="D1748">
        <v>82.11</v>
      </c>
      <c r="E1748">
        <v>0.011526635434147</v>
      </c>
      <c r="F1748" t="s">
        <v>1921</v>
      </c>
      <c r="G1748" t="s">
        <v>1921</v>
      </c>
      <c r="H1748">
        <v>0.9464520354978331</v>
      </c>
      <c r="I1748">
        <v>5061.056275</v>
      </c>
      <c r="J1748">
        <v>7.537053827368985</v>
      </c>
      <c r="K1748">
        <v>0.08534283458050794</v>
      </c>
      <c r="L1748">
        <v>1.005426938217272</v>
      </c>
      <c r="M1748">
        <v>94.2</v>
      </c>
      <c r="N1748">
        <v>63.73</v>
      </c>
    </row>
    <row r="1749" spans="1:14">
      <c r="A1749" s="1" t="s">
        <v>1761</v>
      </c>
      <c r="B1749">
        <f>HYPERLINK("https://www.suredividend.com/sure-analysis-research-database/","UFP Technologies Inc.")</f>
        <v>0</v>
      </c>
      <c r="C1749" t="s">
        <v>1927</v>
      </c>
      <c r="D1749">
        <v>116.79</v>
      </c>
      <c r="E1749">
        <v>0</v>
      </c>
      <c r="F1749" t="s">
        <v>1921</v>
      </c>
      <c r="G1749" t="s">
        <v>1921</v>
      </c>
      <c r="H1749">
        <v>0</v>
      </c>
      <c r="I1749">
        <v>885.105278</v>
      </c>
      <c r="J1749">
        <v>0</v>
      </c>
      <c r="K1749" t="s">
        <v>1921</v>
      </c>
      <c r="L1749">
        <v>0.690806351209674</v>
      </c>
      <c r="M1749">
        <v>126.78</v>
      </c>
      <c r="N1749">
        <v>56.1</v>
      </c>
    </row>
    <row r="1750" spans="1:14">
      <c r="A1750" s="1" t="s">
        <v>1762</v>
      </c>
      <c r="B1750">
        <f>HYPERLINK("https://www.suredividend.com/sure-analysis-UHT/","Universal Health Realty Income Trust")</f>
        <v>0</v>
      </c>
      <c r="C1750" t="s">
        <v>1929</v>
      </c>
      <c r="D1750">
        <v>48.64</v>
      </c>
      <c r="E1750">
        <v>0.05838815789473684</v>
      </c>
      <c r="F1750">
        <v>0.01418439716312059</v>
      </c>
      <c r="G1750">
        <v>0.01460472222032205</v>
      </c>
      <c r="H1750">
        <v>2.780747944228887</v>
      </c>
      <c r="I1750">
        <v>671.339397</v>
      </c>
      <c r="J1750">
        <v>6.269161208001046</v>
      </c>
      <c r="K1750">
        <v>0.3578826183048761</v>
      </c>
      <c r="L1750">
        <v>0.522483915873277</v>
      </c>
      <c r="M1750">
        <v>57.48</v>
      </c>
      <c r="N1750">
        <v>40.35</v>
      </c>
    </row>
    <row r="1751" spans="1:14">
      <c r="A1751" s="1" t="s">
        <v>1763</v>
      </c>
      <c r="B1751">
        <f>HYPERLINK("https://www.suredividend.com/sure-analysis-research-database/","United Insurance Holdings Corp")</f>
        <v>0</v>
      </c>
      <c r="C1751" t="s">
        <v>1923</v>
      </c>
      <c r="D1751">
        <v>1.06</v>
      </c>
      <c r="E1751">
        <v>0.056603772319712</v>
      </c>
      <c r="F1751" t="s">
        <v>1921</v>
      </c>
      <c r="G1751" t="s">
        <v>1921</v>
      </c>
      <c r="H1751">
        <v>0.05999999865889501</v>
      </c>
      <c r="I1751">
        <v>45.906576</v>
      </c>
      <c r="J1751">
        <v>0</v>
      </c>
      <c r="K1751" t="s">
        <v>1921</v>
      </c>
      <c r="L1751">
        <v>0.430043801108267</v>
      </c>
      <c r="M1751">
        <v>4.37</v>
      </c>
      <c r="N1751">
        <v>0.2921</v>
      </c>
    </row>
    <row r="1752" spans="1:14">
      <c r="A1752" s="1" t="s">
        <v>1764</v>
      </c>
      <c r="B1752">
        <f>HYPERLINK("https://www.suredividend.com/sure-analysis-research-database/","Unisys Corp.")</f>
        <v>0</v>
      </c>
      <c r="C1752" t="s">
        <v>1920</v>
      </c>
      <c r="D1752">
        <v>5.38</v>
      </c>
      <c r="E1752">
        <v>0</v>
      </c>
      <c r="F1752" t="s">
        <v>1921</v>
      </c>
      <c r="G1752" t="s">
        <v>1921</v>
      </c>
      <c r="H1752">
        <v>0</v>
      </c>
      <c r="I1752">
        <v>364.689955</v>
      </c>
      <c r="J1752" t="s">
        <v>1921</v>
      </c>
      <c r="K1752">
        <v>-0</v>
      </c>
      <c r="L1752">
        <v>1.180892035601805</v>
      </c>
      <c r="M1752">
        <v>23.1</v>
      </c>
      <c r="N1752">
        <v>3.93</v>
      </c>
    </row>
    <row r="1753" spans="1:14">
      <c r="A1753" s="1" t="s">
        <v>1765</v>
      </c>
      <c r="B1753">
        <f>HYPERLINK("https://www.suredividend.com/sure-analysis-research-database/","Frontier Group Holdings Inc")</f>
        <v>0</v>
      </c>
      <c r="C1753" t="s">
        <v>1921</v>
      </c>
      <c r="D1753">
        <v>10.57</v>
      </c>
      <c r="E1753">
        <v>0</v>
      </c>
      <c r="F1753" t="s">
        <v>1921</v>
      </c>
      <c r="G1753" t="s">
        <v>1921</v>
      </c>
      <c r="H1753">
        <v>0</v>
      </c>
      <c r="I1753">
        <v>2301.764772</v>
      </c>
      <c r="J1753">
        <v>0</v>
      </c>
      <c r="K1753" t="s">
        <v>1921</v>
      </c>
      <c r="L1753">
        <v>1.437113726329067</v>
      </c>
      <c r="M1753">
        <v>15.25</v>
      </c>
      <c r="N1753">
        <v>8.19</v>
      </c>
    </row>
    <row r="1754" spans="1:14">
      <c r="A1754" s="1" t="s">
        <v>1766</v>
      </c>
      <c r="B1754">
        <f>HYPERLINK("https://www.suredividend.com/sure-analysis-research-database/","Universal Logistics Holdings Inc")</f>
        <v>0</v>
      </c>
      <c r="C1754" t="s">
        <v>1924</v>
      </c>
      <c r="D1754">
        <v>34.81</v>
      </c>
      <c r="E1754">
        <v>0.011991387415573</v>
      </c>
      <c r="F1754">
        <v>0</v>
      </c>
      <c r="G1754">
        <v>0</v>
      </c>
      <c r="H1754">
        <v>0.417420195936106</v>
      </c>
      <c r="I1754">
        <v>914.721481</v>
      </c>
      <c r="J1754">
        <v>6.042232413995825</v>
      </c>
      <c r="K1754">
        <v>0.07348947111551163</v>
      </c>
      <c r="L1754">
        <v>0.8782076723476411</v>
      </c>
      <c r="M1754">
        <v>40.53</v>
      </c>
      <c r="N1754">
        <v>15.57</v>
      </c>
    </row>
    <row r="1755" spans="1:14">
      <c r="A1755" s="1" t="s">
        <v>1767</v>
      </c>
      <c r="B1755">
        <f>HYPERLINK("https://www.suredividend.com/sure-analysis-UMBF/","UMB Financial Corp.")</f>
        <v>0</v>
      </c>
      <c r="C1755" t="s">
        <v>1923</v>
      </c>
      <c r="D1755">
        <v>84.25</v>
      </c>
      <c r="E1755">
        <v>0.01804154302670623</v>
      </c>
      <c r="F1755">
        <v>0.02702702702702697</v>
      </c>
      <c r="G1755">
        <v>0.05554589164848411</v>
      </c>
      <c r="H1755">
        <v>1.480311409360208</v>
      </c>
      <c r="I1755">
        <v>4070.311528</v>
      </c>
      <c r="J1755">
        <v>9.927468025389931</v>
      </c>
      <c r="K1755">
        <v>0.1762275487333581</v>
      </c>
      <c r="L1755">
        <v>0.7956360267070871</v>
      </c>
      <c r="M1755">
        <v>110.38</v>
      </c>
      <c r="N1755">
        <v>76.97</v>
      </c>
    </row>
    <row r="1756" spans="1:14">
      <c r="A1756" s="1" t="s">
        <v>1768</v>
      </c>
      <c r="B1756">
        <f>HYPERLINK("https://www.suredividend.com/sure-analysis-UMH/","UMH Properties Inc")</f>
        <v>0</v>
      </c>
      <c r="C1756" t="s">
        <v>1929</v>
      </c>
      <c r="D1756">
        <v>16.39</v>
      </c>
      <c r="E1756">
        <v>0.04881025015253204</v>
      </c>
      <c r="F1756">
        <v>0.05263157894736836</v>
      </c>
      <c r="G1756">
        <v>0.02129568760013512</v>
      </c>
      <c r="H1756">
        <v>0.787281511138028</v>
      </c>
      <c r="I1756">
        <v>913.500371</v>
      </c>
      <c r="J1756" t="s">
        <v>1921</v>
      </c>
      <c r="K1756" t="s">
        <v>1921</v>
      </c>
      <c r="L1756">
        <v>0.7916342564568341</v>
      </c>
      <c r="M1756">
        <v>24.66</v>
      </c>
      <c r="N1756">
        <v>14.97</v>
      </c>
    </row>
    <row r="1757" spans="1:14">
      <c r="A1757" s="1" t="s">
        <v>1769</v>
      </c>
      <c r="B1757">
        <f>HYPERLINK("https://www.suredividend.com/sure-analysis-UNF/","Unifirst Corp.")</f>
        <v>0</v>
      </c>
      <c r="C1757" t="s">
        <v>1924</v>
      </c>
      <c r="D1757">
        <v>201.14</v>
      </c>
      <c r="E1757">
        <v>0.006164860296311027</v>
      </c>
      <c r="F1757">
        <v>0.03333333333333321</v>
      </c>
      <c r="G1757">
        <v>0.5256892465435385</v>
      </c>
      <c r="H1757">
        <v>1.208027852066078</v>
      </c>
      <c r="I1757">
        <v>3036.875079</v>
      </c>
      <c r="J1757">
        <v>29.29762945801497</v>
      </c>
      <c r="K1757">
        <v>0.2200415031085752</v>
      </c>
      <c r="L1757">
        <v>0.7081520978777071</v>
      </c>
      <c r="M1757">
        <v>204.25</v>
      </c>
      <c r="N1757">
        <v>154.47</v>
      </c>
    </row>
    <row r="1758" spans="1:14">
      <c r="A1758" s="1" t="s">
        <v>1770</v>
      </c>
      <c r="B1758">
        <f>HYPERLINK("https://www.suredividend.com/sure-analysis-research-database/","United Natural Foods Inc.")</f>
        <v>0</v>
      </c>
      <c r="C1758" t="s">
        <v>1928</v>
      </c>
      <c r="D1758">
        <v>39.57</v>
      </c>
      <c r="E1758">
        <v>0</v>
      </c>
      <c r="F1758" t="s">
        <v>1921</v>
      </c>
      <c r="G1758" t="s">
        <v>1921</v>
      </c>
      <c r="H1758">
        <v>0</v>
      </c>
      <c r="I1758">
        <v>2367.532772</v>
      </c>
      <c r="J1758">
        <v>9.947616687226891</v>
      </c>
      <c r="K1758">
        <v>0</v>
      </c>
      <c r="L1758">
        <v>0.9540389286599171</v>
      </c>
      <c r="M1758">
        <v>49.56</v>
      </c>
      <c r="N1758">
        <v>32.9</v>
      </c>
    </row>
    <row r="1759" spans="1:14">
      <c r="A1759" s="1" t="s">
        <v>1771</v>
      </c>
      <c r="B1759">
        <f>HYPERLINK("https://www.suredividend.com/sure-analysis-UNIT/","Uniti Group Inc")</f>
        <v>0</v>
      </c>
      <c r="C1759" t="s">
        <v>1929</v>
      </c>
      <c r="D1759">
        <v>5.83</v>
      </c>
      <c r="E1759">
        <v>0.1029159519725557</v>
      </c>
      <c r="F1759">
        <v>0</v>
      </c>
      <c r="G1759">
        <v>-0.242141716744801</v>
      </c>
      <c r="H1759">
        <v>0.5819183996904741</v>
      </c>
      <c r="I1759">
        <v>1382.876292</v>
      </c>
      <c r="J1759" t="s">
        <v>1921</v>
      </c>
      <c r="K1759" t="s">
        <v>1921</v>
      </c>
      <c r="L1759">
        <v>1.301392236312464</v>
      </c>
      <c r="M1759">
        <v>13.32</v>
      </c>
      <c r="N1759">
        <v>5.34</v>
      </c>
    </row>
    <row r="1760" spans="1:14">
      <c r="A1760" s="1" t="s">
        <v>1772</v>
      </c>
      <c r="B1760">
        <f>HYPERLINK("https://www.suredividend.com/sure-analysis-research-database/","Upland Software Inc")</f>
        <v>0</v>
      </c>
      <c r="C1760" t="s">
        <v>1920</v>
      </c>
      <c r="D1760">
        <v>8.029999999999999</v>
      </c>
      <c r="E1760">
        <v>0</v>
      </c>
      <c r="F1760" t="s">
        <v>1921</v>
      </c>
      <c r="G1760" t="s">
        <v>1921</v>
      </c>
      <c r="H1760">
        <v>0</v>
      </c>
      <c r="I1760">
        <v>255.177693</v>
      </c>
      <c r="J1760">
        <v>0</v>
      </c>
      <c r="K1760" t="s">
        <v>1921</v>
      </c>
      <c r="L1760">
        <v>1.370266770932828</v>
      </c>
      <c r="M1760">
        <v>21.62</v>
      </c>
      <c r="N1760">
        <v>6.26</v>
      </c>
    </row>
    <row r="1761" spans="1:14">
      <c r="A1761" s="1" t="s">
        <v>1773</v>
      </c>
      <c r="B1761">
        <f>HYPERLINK("https://www.suredividend.com/sure-analysis-research-database/","Upwork Inc")</f>
        <v>0</v>
      </c>
      <c r="C1761" t="s">
        <v>1924</v>
      </c>
      <c r="D1761">
        <v>11.54</v>
      </c>
      <c r="E1761">
        <v>0</v>
      </c>
      <c r="F1761" t="s">
        <v>1921</v>
      </c>
      <c r="G1761" t="s">
        <v>1921</v>
      </c>
      <c r="H1761">
        <v>0</v>
      </c>
      <c r="I1761">
        <v>1515.692242</v>
      </c>
      <c r="J1761" t="s">
        <v>1921</v>
      </c>
      <c r="K1761">
        <v>-0</v>
      </c>
      <c r="L1761">
        <v>1.882739460951467</v>
      </c>
      <c r="M1761">
        <v>31.1</v>
      </c>
      <c r="N1761">
        <v>9.789999999999999</v>
      </c>
    </row>
    <row r="1762" spans="1:14">
      <c r="A1762" s="1" t="s">
        <v>1774</v>
      </c>
      <c r="B1762">
        <f>HYPERLINK("https://www.suredividend.com/sure-analysis-research-database/","Urban Outfitters, Inc.")</f>
        <v>0</v>
      </c>
      <c r="C1762" t="s">
        <v>1927</v>
      </c>
      <c r="D1762">
        <v>25.46</v>
      </c>
      <c r="E1762">
        <v>0</v>
      </c>
      <c r="F1762" t="s">
        <v>1921</v>
      </c>
      <c r="G1762" t="s">
        <v>1921</v>
      </c>
      <c r="H1762">
        <v>0</v>
      </c>
      <c r="I1762">
        <v>2346.794595</v>
      </c>
      <c r="J1762">
        <v>13.87084618385356</v>
      </c>
      <c r="K1762">
        <v>0</v>
      </c>
      <c r="L1762">
        <v>1.223093013657113</v>
      </c>
      <c r="M1762">
        <v>30.52</v>
      </c>
      <c r="N1762">
        <v>17.81</v>
      </c>
    </row>
    <row r="1763" spans="1:14">
      <c r="A1763" s="1" t="s">
        <v>1775</v>
      </c>
      <c r="B1763">
        <f>HYPERLINK("https://www.suredividend.com/sure-analysis-research-database/","Ur-Energy Inc.")</f>
        <v>0</v>
      </c>
      <c r="C1763" t="s">
        <v>1926</v>
      </c>
      <c r="D1763">
        <v>1.27</v>
      </c>
      <c r="E1763">
        <v>0</v>
      </c>
      <c r="F1763" t="s">
        <v>1921</v>
      </c>
      <c r="G1763" t="s">
        <v>1921</v>
      </c>
      <c r="H1763">
        <v>0</v>
      </c>
      <c r="I1763">
        <v>285.368519</v>
      </c>
      <c r="J1763">
        <v>0</v>
      </c>
      <c r="K1763" t="s">
        <v>1921</v>
      </c>
      <c r="L1763">
        <v>1.725396189328786</v>
      </c>
      <c r="M1763">
        <v>1.95</v>
      </c>
      <c r="N1763">
        <v>0.9510000000000001</v>
      </c>
    </row>
    <row r="1764" spans="1:14">
      <c r="A1764" s="1" t="s">
        <v>1776</v>
      </c>
      <c r="B1764">
        <f>HYPERLINK("https://www.suredividend.com/sure-analysis-research-database/","UroGen Pharma Ltd")</f>
        <v>0</v>
      </c>
      <c r="C1764" t="s">
        <v>1922</v>
      </c>
      <c r="D1764">
        <v>8.34</v>
      </c>
      <c r="E1764">
        <v>0</v>
      </c>
      <c r="F1764" t="s">
        <v>1921</v>
      </c>
      <c r="G1764" t="s">
        <v>1921</v>
      </c>
      <c r="H1764">
        <v>0</v>
      </c>
      <c r="I1764">
        <v>192.570925</v>
      </c>
      <c r="J1764">
        <v>0</v>
      </c>
      <c r="K1764" t="s">
        <v>1921</v>
      </c>
      <c r="L1764">
        <v>0.7601717465470961</v>
      </c>
      <c r="M1764">
        <v>12.63</v>
      </c>
      <c r="N1764">
        <v>4.85</v>
      </c>
    </row>
    <row r="1765" spans="1:14">
      <c r="A1765" s="1" t="s">
        <v>1777</v>
      </c>
      <c r="B1765">
        <f>HYPERLINK("https://www.suredividend.com/sure-analysis-research-database/","ProShares Trust")</f>
        <v>0</v>
      </c>
      <c r="D1765">
        <v>18.38</v>
      </c>
      <c r="E1765">
        <v>0.002681882494616</v>
      </c>
      <c r="F1765" t="s">
        <v>1921</v>
      </c>
      <c r="G1765" t="s">
        <v>1921</v>
      </c>
      <c r="H1765">
        <v>0.049293000251054</v>
      </c>
      <c r="I1765">
        <v>135.5525</v>
      </c>
      <c r="J1765">
        <v>0</v>
      </c>
      <c r="K1765" t="s">
        <v>1921</v>
      </c>
      <c r="L1765">
        <v>3.309288335590454</v>
      </c>
      <c r="M1765">
        <v>51.86</v>
      </c>
      <c r="N1765">
        <v>11.62</v>
      </c>
    </row>
    <row r="1766" spans="1:14">
      <c r="A1766" s="1" t="s">
        <v>1778</v>
      </c>
      <c r="B1766">
        <f>HYPERLINK("https://www.suredividend.com/sure-analysis-research-database/","UserTesting Inc")</f>
        <v>0</v>
      </c>
      <c r="C1766" t="s">
        <v>1921</v>
      </c>
      <c r="D1766">
        <v>7.5</v>
      </c>
      <c r="E1766">
        <v>0</v>
      </c>
      <c r="F1766" t="s">
        <v>1921</v>
      </c>
      <c r="G1766" t="s">
        <v>1921</v>
      </c>
      <c r="H1766">
        <v>0</v>
      </c>
      <c r="I1766">
        <v>1085.347575</v>
      </c>
      <c r="J1766">
        <v>0</v>
      </c>
      <c r="K1766" t="s">
        <v>1921</v>
      </c>
      <c r="L1766">
        <v>1.117733753447574</v>
      </c>
      <c r="M1766">
        <v>11.99</v>
      </c>
      <c r="N1766">
        <v>3.31</v>
      </c>
    </row>
    <row r="1767" spans="1:14">
      <c r="A1767" s="1" t="s">
        <v>1779</v>
      </c>
      <c r="B1767">
        <f>HYPERLINK("https://www.suredividend.com/sure-analysis-research-database/","United States Lime &amp; Minerals Inc.")</f>
        <v>0</v>
      </c>
      <c r="C1767" t="s">
        <v>1925</v>
      </c>
      <c r="D1767">
        <v>143.35</v>
      </c>
      <c r="E1767">
        <v>0.005567000800098001</v>
      </c>
      <c r="F1767">
        <v>0.25</v>
      </c>
      <c r="G1767">
        <v>0.08178074106640287</v>
      </c>
      <c r="H1767">
        <v>0.798029564694084</v>
      </c>
      <c r="I1767">
        <v>813.301959</v>
      </c>
      <c r="J1767">
        <v>19.25202885548586</v>
      </c>
      <c r="K1767">
        <v>0.1072620382653339</v>
      </c>
      <c r="L1767">
        <v>0.572892488870529</v>
      </c>
      <c r="M1767">
        <v>154</v>
      </c>
      <c r="N1767">
        <v>101.81</v>
      </c>
    </row>
    <row r="1768" spans="1:14">
      <c r="A1768" s="1" t="s">
        <v>1780</v>
      </c>
      <c r="B1768">
        <f>HYPERLINK("https://www.suredividend.com/sure-analysis-research-database/","United States Cellular Corporation")</f>
        <v>0</v>
      </c>
      <c r="C1768" t="s">
        <v>1931</v>
      </c>
      <c r="D1768">
        <v>22.88</v>
      </c>
      <c r="E1768">
        <v>0</v>
      </c>
      <c r="F1768" t="s">
        <v>1921</v>
      </c>
      <c r="G1768" t="s">
        <v>1921</v>
      </c>
      <c r="H1768">
        <v>0</v>
      </c>
      <c r="I1768">
        <v>1194.692928</v>
      </c>
      <c r="J1768">
        <v>14.22253485714286</v>
      </c>
      <c r="K1768">
        <v>0</v>
      </c>
      <c r="L1768">
        <v>0.3865790826309</v>
      </c>
      <c r="M1768">
        <v>32.65</v>
      </c>
      <c r="N1768">
        <v>19.22</v>
      </c>
    </row>
    <row r="1769" spans="1:14">
      <c r="A1769" s="1" t="s">
        <v>1781</v>
      </c>
      <c r="B1769">
        <f>HYPERLINK("https://www.suredividend.com/sure-analysis-research-database/","Usana Health Sciences Inc")</f>
        <v>0</v>
      </c>
      <c r="C1769" t="s">
        <v>1928</v>
      </c>
      <c r="D1769">
        <v>56.21</v>
      </c>
      <c r="E1769">
        <v>0</v>
      </c>
      <c r="F1769" t="s">
        <v>1921</v>
      </c>
      <c r="G1769" t="s">
        <v>1921</v>
      </c>
      <c r="H1769">
        <v>0</v>
      </c>
      <c r="I1769">
        <v>1079.585505</v>
      </c>
      <c r="J1769">
        <v>14.04338867889431</v>
      </c>
      <c r="K1769">
        <v>0</v>
      </c>
      <c r="L1769">
        <v>0.530742661116099</v>
      </c>
      <c r="M1769">
        <v>102.13</v>
      </c>
      <c r="N1769">
        <v>48.61</v>
      </c>
    </row>
    <row r="1770" spans="1:14">
      <c r="A1770" s="1" t="s">
        <v>1782</v>
      </c>
      <c r="B1770">
        <f>HYPERLINK("https://www.suredividend.com/sure-analysis-research-database/","U.S. Physical Therapy, Inc.")</f>
        <v>0</v>
      </c>
      <c r="C1770" t="s">
        <v>1922</v>
      </c>
      <c r="D1770">
        <v>85.52</v>
      </c>
      <c r="E1770">
        <v>0.019043352110285</v>
      </c>
      <c r="F1770" t="s">
        <v>1921</v>
      </c>
      <c r="G1770" t="s">
        <v>1921</v>
      </c>
      <c r="H1770">
        <v>1.628587472471617</v>
      </c>
      <c r="I1770">
        <v>1111.895891</v>
      </c>
      <c r="J1770">
        <v>28.63792024107557</v>
      </c>
      <c r="K1770">
        <v>0.5428624908238723</v>
      </c>
      <c r="L1770">
        <v>0.60736572185528</v>
      </c>
      <c r="M1770">
        <v>130.25</v>
      </c>
      <c r="N1770">
        <v>72.95</v>
      </c>
    </row>
    <row r="1771" spans="1:14">
      <c r="A1771" s="1" t="s">
        <v>1783</v>
      </c>
      <c r="B1771">
        <f>HYPERLINK("https://www.suredividend.com/sure-analysis-research-database/","U.S. Xpress Enterprises Inc")</f>
        <v>0</v>
      </c>
      <c r="C1771" t="s">
        <v>1924</v>
      </c>
      <c r="D1771">
        <v>2.02</v>
      </c>
      <c r="E1771">
        <v>0</v>
      </c>
      <c r="F1771" t="s">
        <v>1921</v>
      </c>
      <c r="G1771" t="s">
        <v>1921</v>
      </c>
      <c r="H1771">
        <v>0</v>
      </c>
      <c r="I1771">
        <v>72.109978</v>
      </c>
      <c r="J1771">
        <v>0</v>
      </c>
      <c r="K1771" t="s">
        <v>1921</v>
      </c>
      <c r="L1771">
        <v>1.259764608599415</v>
      </c>
      <c r="M1771">
        <v>5.44</v>
      </c>
      <c r="N1771">
        <v>1.46</v>
      </c>
    </row>
    <row r="1772" spans="1:14">
      <c r="A1772" s="1" t="s">
        <v>1784</v>
      </c>
      <c r="B1772">
        <f>HYPERLINK("https://www.suredividend.com/sure-analysis-research-database/","Unitil Corp.")</f>
        <v>0</v>
      </c>
      <c r="C1772" t="s">
        <v>1930</v>
      </c>
      <c r="D1772">
        <v>51.83</v>
      </c>
      <c r="E1772">
        <v>0.029548060791282</v>
      </c>
      <c r="F1772">
        <v>0</v>
      </c>
      <c r="G1772">
        <v>0.01333804570728625</v>
      </c>
      <c r="H1772">
        <v>1.531475990812157</v>
      </c>
      <c r="I1772">
        <v>831.3499870000001</v>
      </c>
      <c r="J1772">
        <v>31.26668872616496</v>
      </c>
      <c r="K1772">
        <v>0.9225758980796126</v>
      </c>
      <c r="L1772">
        <v>0.374271820200777</v>
      </c>
      <c r="M1772">
        <v>59.76</v>
      </c>
      <c r="N1772">
        <v>42.42</v>
      </c>
    </row>
    <row r="1773" spans="1:14">
      <c r="A1773" s="1" t="s">
        <v>1785</v>
      </c>
      <c r="B1773">
        <f>HYPERLINK("https://www.suredividend.com/sure-analysis-research-database/","Utah Medical Products, Inc.")</f>
        <v>0</v>
      </c>
      <c r="C1773" t="s">
        <v>1922</v>
      </c>
      <c r="D1773">
        <v>88.16</v>
      </c>
      <c r="E1773">
        <v>0.013151025551267</v>
      </c>
      <c r="F1773">
        <v>-0.8525</v>
      </c>
      <c r="G1773">
        <v>0.01786844354535022</v>
      </c>
      <c r="H1773">
        <v>1.159394412599718</v>
      </c>
      <c r="I1773">
        <v>319.807717</v>
      </c>
      <c r="J1773">
        <v>0</v>
      </c>
      <c r="K1773" t="s">
        <v>1921</v>
      </c>
      <c r="L1773">
        <v>0.580412961731922</v>
      </c>
      <c r="M1773">
        <v>109.16</v>
      </c>
      <c r="N1773">
        <v>79.59</v>
      </c>
    </row>
    <row r="1774" spans="1:14">
      <c r="A1774" s="1" t="s">
        <v>1786</v>
      </c>
      <c r="B1774">
        <f>HYPERLINK("https://www.suredividend.com/sure-analysis-research-database/","Utz Brands Inc")</f>
        <v>0</v>
      </c>
      <c r="C1774" t="s">
        <v>1921</v>
      </c>
      <c r="D1774">
        <v>16.32</v>
      </c>
      <c r="E1774">
        <v>0.013349427347304</v>
      </c>
      <c r="F1774" t="s">
        <v>1921</v>
      </c>
      <c r="G1774" t="s">
        <v>1921</v>
      </c>
      <c r="H1774">
        <v>0.217862654308014</v>
      </c>
      <c r="I1774">
        <v>1318.865467</v>
      </c>
      <c r="J1774">
        <v>0</v>
      </c>
      <c r="K1774" t="s">
        <v>1921</v>
      </c>
      <c r="L1774">
        <v>0.750673321597602</v>
      </c>
      <c r="M1774">
        <v>19.85</v>
      </c>
      <c r="N1774">
        <v>11.93</v>
      </c>
    </row>
    <row r="1775" spans="1:14">
      <c r="A1775" s="1" t="s">
        <v>1787</v>
      </c>
      <c r="B1775">
        <f>HYPERLINK("https://www.suredividend.com/sure-analysis-research-database/","Energy Fuels Inc")</f>
        <v>0</v>
      </c>
      <c r="C1775" t="s">
        <v>1926</v>
      </c>
      <c r="D1775">
        <v>6.61</v>
      </c>
      <c r="E1775">
        <v>0</v>
      </c>
      <c r="F1775" t="s">
        <v>1921</v>
      </c>
      <c r="G1775" t="s">
        <v>1921</v>
      </c>
      <c r="H1775">
        <v>0</v>
      </c>
      <c r="I1775">
        <v>1040.979036</v>
      </c>
      <c r="J1775">
        <v>0</v>
      </c>
      <c r="K1775" t="s">
        <v>1921</v>
      </c>
      <c r="L1775">
        <v>2.025186196064917</v>
      </c>
      <c r="M1775">
        <v>11</v>
      </c>
      <c r="N1775">
        <v>4.69</v>
      </c>
    </row>
    <row r="1776" spans="1:14">
      <c r="A1776" s="1" t="s">
        <v>1788</v>
      </c>
      <c r="B1776">
        <f>HYPERLINK("https://www.suredividend.com/sure-analysis-research-database/","Universal Insurance Holdings Inc")</f>
        <v>0</v>
      </c>
      <c r="C1776" t="s">
        <v>1923</v>
      </c>
      <c r="D1776">
        <v>10.71</v>
      </c>
      <c r="E1776">
        <v>0.058557255168209</v>
      </c>
      <c r="F1776">
        <v>0</v>
      </c>
      <c r="G1776">
        <v>0</v>
      </c>
      <c r="H1776">
        <v>0.6271482028515221</v>
      </c>
      <c r="I1776">
        <v>326.79167</v>
      </c>
      <c r="J1776" t="s">
        <v>1921</v>
      </c>
      <c r="K1776" t="s">
        <v>1921</v>
      </c>
      <c r="L1776">
        <v>0.5868595361319401</v>
      </c>
      <c r="M1776">
        <v>18.62</v>
      </c>
      <c r="N1776">
        <v>8.27</v>
      </c>
    </row>
    <row r="1777" spans="1:14">
      <c r="A1777" s="1" t="s">
        <v>1789</v>
      </c>
      <c r="B1777">
        <f>HYPERLINK("https://www.suredividend.com/sure-analysis-research-database/","Univest Financial Corp")</f>
        <v>0</v>
      </c>
      <c r="C1777" t="s">
        <v>1923</v>
      </c>
      <c r="D1777">
        <v>25.68</v>
      </c>
      <c r="E1777">
        <v>0.03194629789186301</v>
      </c>
      <c r="F1777" t="s">
        <v>1921</v>
      </c>
      <c r="G1777" t="s">
        <v>1921</v>
      </c>
      <c r="H1777">
        <v>0.8203809298630521</v>
      </c>
      <c r="I1777">
        <v>750.946142</v>
      </c>
      <c r="J1777">
        <v>10.47242447292454</v>
      </c>
      <c r="K1777">
        <v>0.3390003842409307</v>
      </c>
      <c r="L1777">
        <v>0.516512909868</v>
      </c>
      <c r="M1777">
        <v>30.96</v>
      </c>
      <c r="N1777">
        <v>23.31</v>
      </c>
    </row>
    <row r="1778" spans="1:14">
      <c r="A1778" s="1" t="s">
        <v>1790</v>
      </c>
      <c r="B1778">
        <f>HYPERLINK("https://www.suredividend.com/sure-analysis-UVV/","Universal Corp.")</f>
        <v>0</v>
      </c>
      <c r="C1778" t="s">
        <v>1928</v>
      </c>
      <c r="D1778">
        <v>51.49</v>
      </c>
      <c r="E1778">
        <v>0.06137114002718975</v>
      </c>
      <c r="F1778">
        <v>0.01282051282051277</v>
      </c>
      <c r="G1778">
        <v>0.01044613160468888</v>
      </c>
      <c r="H1778">
        <v>3.078816137406259</v>
      </c>
      <c r="I1778">
        <v>1264.355538</v>
      </c>
      <c r="J1778">
        <v>14.14347041657811</v>
      </c>
      <c r="K1778">
        <v>0.8600045076553796</v>
      </c>
      <c r="L1778">
        <v>0.435403265619583</v>
      </c>
      <c r="M1778">
        <v>61.29</v>
      </c>
      <c r="N1778">
        <v>42.99</v>
      </c>
    </row>
    <row r="1779" spans="1:14">
      <c r="A1779" s="1" t="s">
        <v>1791</v>
      </c>
      <c r="B1779">
        <f>HYPERLINK("https://www.suredividend.com/sure-analysis-research-database/","Value Line, Inc.")</f>
        <v>0</v>
      </c>
      <c r="C1779" t="s">
        <v>1923</v>
      </c>
      <c r="D1779">
        <v>52.5</v>
      </c>
      <c r="E1779">
        <v>0.018377635247133</v>
      </c>
      <c r="F1779">
        <v>0.1363636363636365</v>
      </c>
      <c r="G1779">
        <v>0.04563955259127317</v>
      </c>
      <c r="H1779">
        <v>0.9648258504744921</v>
      </c>
      <c r="I1779">
        <v>496.167998</v>
      </c>
      <c r="J1779">
        <v>27.24850334999176</v>
      </c>
      <c r="K1779">
        <v>0.502513463788798</v>
      </c>
      <c r="M1779">
        <v>117.93</v>
      </c>
      <c r="N1779">
        <v>42.02</v>
      </c>
    </row>
    <row r="1780" spans="1:14">
      <c r="A1780" s="1" t="s">
        <v>1792</v>
      </c>
      <c r="B1780">
        <f>HYPERLINK("https://www.suredividend.com/sure-analysis-research-database/","Vapotherm Inc")</f>
        <v>0</v>
      </c>
      <c r="C1780" t="s">
        <v>1922</v>
      </c>
      <c r="D1780">
        <v>2.4</v>
      </c>
      <c r="E1780">
        <v>0</v>
      </c>
      <c r="F1780" t="s">
        <v>1921</v>
      </c>
      <c r="G1780" t="s">
        <v>1921</v>
      </c>
      <c r="H1780">
        <v>0</v>
      </c>
      <c r="I1780">
        <v>64.09422000000001</v>
      </c>
      <c r="J1780">
        <v>0</v>
      </c>
      <c r="K1780" t="s">
        <v>1921</v>
      </c>
      <c r="L1780">
        <v>1.399632118958945</v>
      </c>
      <c r="M1780">
        <v>20.14</v>
      </c>
      <c r="N1780">
        <v>0.46</v>
      </c>
    </row>
    <row r="1781" spans="1:14">
      <c r="A1781" s="1" t="s">
        <v>1793</v>
      </c>
      <c r="B1781">
        <f>HYPERLINK("https://www.suredividend.com/sure-analysis-research-database/","Innovate Corp")</f>
        <v>0</v>
      </c>
      <c r="C1781" t="s">
        <v>1928</v>
      </c>
      <c r="D1781">
        <v>2.34</v>
      </c>
      <c r="E1781">
        <v>0</v>
      </c>
      <c r="F1781" t="s">
        <v>1921</v>
      </c>
      <c r="G1781" t="s">
        <v>1921</v>
      </c>
      <c r="H1781">
        <v>0</v>
      </c>
      <c r="I1781">
        <v>183.352932</v>
      </c>
      <c r="J1781">
        <v>0</v>
      </c>
      <c r="K1781" t="s">
        <v>1921</v>
      </c>
      <c r="L1781">
        <v>1.123671680653909</v>
      </c>
      <c r="M1781">
        <v>4.24</v>
      </c>
      <c r="N1781">
        <v>0.6379</v>
      </c>
    </row>
    <row r="1782" spans="1:14">
      <c r="A1782" s="1" t="s">
        <v>1794</v>
      </c>
      <c r="B1782">
        <f>HYPERLINK("https://www.suredividend.com/sure-analysis-research-database/","VBI Vaccines Inc.")</f>
        <v>0</v>
      </c>
      <c r="C1782" t="s">
        <v>1922</v>
      </c>
      <c r="D1782">
        <v>0.43</v>
      </c>
      <c r="E1782">
        <v>0</v>
      </c>
      <c r="F1782" t="s">
        <v>1921</v>
      </c>
      <c r="G1782" t="s">
        <v>1921</v>
      </c>
      <c r="H1782">
        <v>0</v>
      </c>
      <c r="I1782">
        <v>111.050722</v>
      </c>
      <c r="J1782" t="s">
        <v>1921</v>
      </c>
      <c r="K1782">
        <v>-0</v>
      </c>
      <c r="L1782">
        <v>1.959880858095841</v>
      </c>
      <c r="M1782">
        <v>2.09</v>
      </c>
      <c r="N1782">
        <v>0.36</v>
      </c>
    </row>
    <row r="1783" spans="1:14">
      <c r="A1783" s="1" t="s">
        <v>1795</v>
      </c>
      <c r="B1783">
        <f>HYPERLINK("https://www.suredividend.com/sure-analysis-research-database/","Veritex Holdings Inc")</f>
        <v>0</v>
      </c>
      <c r="C1783" t="s">
        <v>1923</v>
      </c>
      <c r="D1783">
        <v>27.97</v>
      </c>
      <c r="E1783">
        <v>0.028152396782158</v>
      </c>
      <c r="F1783" t="s">
        <v>1921</v>
      </c>
      <c r="G1783" t="s">
        <v>1921</v>
      </c>
      <c r="H1783">
        <v>0.787422537996965</v>
      </c>
      <c r="I1783">
        <v>1510.52329</v>
      </c>
      <c r="J1783">
        <v>0</v>
      </c>
      <c r="K1783" t="s">
        <v>1921</v>
      </c>
      <c r="L1783">
        <v>0.919066064992601</v>
      </c>
      <c r="M1783">
        <v>42.04</v>
      </c>
      <c r="N1783">
        <v>25.81</v>
      </c>
    </row>
    <row r="1784" spans="1:14">
      <c r="A1784" s="1" t="s">
        <v>1796</v>
      </c>
      <c r="B1784">
        <f>HYPERLINK("https://www.suredividend.com/sure-analysis-research-database/","Visteon Corp.")</f>
        <v>0</v>
      </c>
      <c r="C1784" t="s">
        <v>1927</v>
      </c>
      <c r="D1784">
        <v>143.93</v>
      </c>
      <c r="E1784">
        <v>0</v>
      </c>
      <c r="F1784" t="s">
        <v>1921</v>
      </c>
      <c r="G1784" t="s">
        <v>1921</v>
      </c>
      <c r="H1784">
        <v>0</v>
      </c>
      <c r="I1784">
        <v>4050.591621</v>
      </c>
      <c r="J1784">
        <v>33.47596380801653</v>
      </c>
      <c r="K1784">
        <v>0</v>
      </c>
      <c r="L1784">
        <v>1.355034028523741</v>
      </c>
      <c r="M1784">
        <v>152.1</v>
      </c>
      <c r="N1784">
        <v>88.81999999999999</v>
      </c>
    </row>
    <row r="1785" spans="1:14">
      <c r="A1785" s="1" t="s">
        <v>1797</v>
      </c>
      <c r="B1785">
        <f>HYPERLINK("https://www.suredividend.com/sure-analysis-research-database/","Vericel Corp")</f>
        <v>0</v>
      </c>
      <c r="C1785" t="s">
        <v>1922</v>
      </c>
      <c r="D1785">
        <v>23.85</v>
      </c>
      <c r="E1785">
        <v>0</v>
      </c>
      <c r="F1785" t="s">
        <v>1921</v>
      </c>
      <c r="G1785" t="s">
        <v>1921</v>
      </c>
      <c r="H1785">
        <v>0</v>
      </c>
      <c r="I1785">
        <v>1126.26824</v>
      </c>
      <c r="J1785" t="s">
        <v>1921</v>
      </c>
      <c r="K1785">
        <v>-0</v>
      </c>
      <c r="L1785">
        <v>1.720215120074665</v>
      </c>
      <c r="M1785">
        <v>43.97</v>
      </c>
      <c r="N1785">
        <v>17.3</v>
      </c>
    </row>
    <row r="1786" spans="1:14">
      <c r="A1786" s="1" t="s">
        <v>1798</v>
      </c>
      <c r="B1786">
        <f>HYPERLINK("https://www.suredividend.com/sure-analysis-research-database/","Veracyte Inc")</f>
        <v>0</v>
      </c>
      <c r="C1786" t="s">
        <v>1922</v>
      </c>
      <c r="D1786">
        <v>23.06</v>
      </c>
      <c r="E1786">
        <v>0</v>
      </c>
      <c r="F1786" t="s">
        <v>1921</v>
      </c>
      <c r="G1786" t="s">
        <v>1921</v>
      </c>
      <c r="H1786">
        <v>0</v>
      </c>
      <c r="I1786">
        <v>1654.621782</v>
      </c>
      <c r="J1786">
        <v>0</v>
      </c>
      <c r="K1786" t="s">
        <v>1921</v>
      </c>
      <c r="L1786">
        <v>2.227803263209143</v>
      </c>
      <c r="M1786">
        <v>35.35</v>
      </c>
      <c r="N1786">
        <v>14.85</v>
      </c>
    </row>
    <row r="1787" spans="1:14">
      <c r="A1787" s="1" t="s">
        <v>1799</v>
      </c>
      <c r="B1787">
        <f>HYPERLINK("https://www.suredividend.com/sure-analysis-research-database/","V2X Inc")</f>
        <v>0</v>
      </c>
      <c r="C1787" t="s">
        <v>1924</v>
      </c>
      <c r="D1787">
        <v>32.84</v>
      </c>
      <c r="E1787">
        <v>0</v>
      </c>
      <c r="F1787" t="s">
        <v>1921</v>
      </c>
      <c r="G1787" t="s">
        <v>1921</v>
      </c>
      <c r="H1787">
        <v>0</v>
      </c>
      <c r="I1787">
        <v>388.387613</v>
      </c>
      <c r="J1787">
        <v>10.63056282797318</v>
      </c>
      <c r="K1787">
        <v>0</v>
      </c>
      <c r="M1787">
        <v>52.67</v>
      </c>
      <c r="N1787">
        <v>30.69</v>
      </c>
    </row>
    <row r="1788" spans="1:14">
      <c r="A1788" s="1" t="s">
        <v>1800</v>
      </c>
      <c r="B1788">
        <f>HYPERLINK("https://www.suredividend.com/sure-analysis-research-database/","Veeco Instruments Inc")</f>
        <v>0</v>
      </c>
      <c r="C1788" t="s">
        <v>1920</v>
      </c>
      <c r="D1788">
        <v>19.81</v>
      </c>
      <c r="E1788">
        <v>0</v>
      </c>
      <c r="F1788" t="s">
        <v>1921</v>
      </c>
      <c r="G1788" t="s">
        <v>1921</v>
      </c>
      <c r="H1788">
        <v>0</v>
      </c>
      <c r="I1788">
        <v>1018.732222</v>
      </c>
      <c r="J1788">
        <v>22.0366484565965</v>
      </c>
      <c r="K1788">
        <v>0</v>
      </c>
      <c r="L1788">
        <v>1.296172399718321</v>
      </c>
      <c r="M1788">
        <v>32.4</v>
      </c>
      <c r="N1788">
        <v>16.11</v>
      </c>
    </row>
    <row r="1789" spans="1:14">
      <c r="A1789" s="1" t="s">
        <v>1801</v>
      </c>
      <c r="B1789">
        <f>HYPERLINK("https://www.suredividend.com/sure-analysis-research-database/","Velocity Financial Inc")</f>
        <v>0</v>
      </c>
      <c r="C1789" t="s">
        <v>1923</v>
      </c>
      <c r="D1789">
        <v>10.15</v>
      </c>
      <c r="E1789">
        <v>0</v>
      </c>
      <c r="F1789" t="s">
        <v>1921</v>
      </c>
      <c r="G1789" t="s">
        <v>1921</v>
      </c>
      <c r="H1789">
        <v>0</v>
      </c>
      <c r="I1789">
        <v>329.020979</v>
      </c>
      <c r="J1789">
        <v>0</v>
      </c>
      <c r="K1789" t="s">
        <v>1921</v>
      </c>
      <c r="L1789">
        <v>0.8551452990674621</v>
      </c>
      <c r="M1789">
        <v>13.81</v>
      </c>
      <c r="N1789">
        <v>8.15</v>
      </c>
    </row>
    <row r="1790" spans="1:14">
      <c r="A1790" s="1" t="s">
        <v>1802</v>
      </c>
      <c r="B1790">
        <f>HYPERLINK("https://www.suredividend.com/sure-analysis-research-database/","Vera Therapeutics Inc")</f>
        <v>0</v>
      </c>
      <c r="C1790" t="s">
        <v>1921</v>
      </c>
      <c r="D1790">
        <v>5.41</v>
      </c>
      <c r="E1790">
        <v>0</v>
      </c>
      <c r="F1790" t="s">
        <v>1921</v>
      </c>
      <c r="G1790" t="s">
        <v>1921</v>
      </c>
      <c r="H1790">
        <v>0</v>
      </c>
      <c r="I1790">
        <v>149.627832</v>
      </c>
      <c r="J1790">
        <v>0</v>
      </c>
      <c r="K1790" t="s">
        <v>1921</v>
      </c>
      <c r="L1790">
        <v>0.926853156815812</v>
      </c>
      <c r="M1790">
        <v>24.98</v>
      </c>
      <c r="N1790">
        <v>5.2</v>
      </c>
    </row>
    <row r="1791" spans="1:14">
      <c r="A1791" s="1" t="s">
        <v>1803</v>
      </c>
      <c r="B1791">
        <f>HYPERLINK("https://www.suredividend.com/sure-analysis-research-database/","Veritone Inc")</f>
        <v>0</v>
      </c>
      <c r="C1791" t="s">
        <v>1920</v>
      </c>
      <c r="D1791">
        <v>5.19</v>
      </c>
      <c r="E1791">
        <v>0</v>
      </c>
      <c r="F1791" t="s">
        <v>1921</v>
      </c>
      <c r="G1791" t="s">
        <v>1921</v>
      </c>
      <c r="H1791">
        <v>0</v>
      </c>
      <c r="I1791">
        <v>187.541486</v>
      </c>
      <c r="J1791" t="s">
        <v>1921</v>
      </c>
      <c r="K1791">
        <v>-0</v>
      </c>
      <c r="L1791">
        <v>2.247697458853924</v>
      </c>
      <c r="M1791">
        <v>20.54</v>
      </c>
      <c r="N1791">
        <v>4.57</v>
      </c>
    </row>
    <row r="1792" spans="1:14">
      <c r="A1792" s="1" t="s">
        <v>1804</v>
      </c>
      <c r="B1792">
        <f>HYPERLINK("https://www.suredividend.com/sure-analysis-research-database/","Veru Inc")</f>
        <v>0</v>
      </c>
      <c r="C1792" t="s">
        <v>1922</v>
      </c>
      <c r="D1792">
        <v>5.29</v>
      </c>
      <c r="E1792">
        <v>0</v>
      </c>
      <c r="F1792" t="s">
        <v>1921</v>
      </c>
      <c r="G1792" t="s">
        <v>1921</v>
      </c>
      <c r="H1792">
        <v>0</v>
      </c>
      <c r="I1792">
        <v>426.496347</v>
      </c>
      <c r="J1792" t="s">
        <v>1921</v>
      </c>
      <c r="K1792">
        <v>-0</v>
      </c>
      <c r="M1792">
        <v>24.55</v>
      </c>
      <c r="N1792">
        <v>4.34</v>
      </c>
    </row>
    <row r="1793" spans="1:14">
      <c r="A1793" s="1" t="s">
        <v>1805</v>
      </c>
      <c r="B1793">
        <f>HYPERLINK("https://www.suredividend.com/sure-analysis-research-database/","Verve Therapeutics Inc")</f>
        <v>0</v>
      </c>
      <c r="C1793" t="s">
        <v>1921</v>
      </c>
      <c r="D1793">
        <v>20.18</v>
      </c>
      <c r="E1793">
        <v>0</v>
      </c>
      <c r="F1793" t="s">
        <v>1921</v>
      </c>
      <c r="G1793" t="s">
        <v>1921</v>
      </c>
      <c r="H1793">
        <v>0</v>
      </c>
      <c r="I1793">
        <v>1243.164442</v>
      </c>
      <c r="J1793">
        <v>0</v>
      </c>
      <c r="K1793" t="s">
        <v>1921</v>
      </c>
      <c r="L1793">
        <v>2.114911104567661</v>
      </c>
      <c r="M1793">
        <v>43</v>
      </c>
      <c r="N1793">
        <v>10.7</v>
      </c>
    </row>
    <row r="1794" spans="1:14">
      <c r="A1794" s="1" t="s">
        <v>1806</v>
      </c>
      <c r="B1794">
        <f>HYPERLINK("https://www.suredividend.com/sure-analysis-research-database/","Vonage Holdings Corp")</f>
        <v>0</v>
      </c>
      <c r="C1794" t="s">
        <v>1931</v>
      </c>
      <c r="D1794">
        <v>20.99</v>
      </c>
      <c r="E1794">
        <v>0</v>
      </c>
      <c r="F1794" t="s">
        <v>1921</v>
      </c>
      <c r="G1794" t="s">
        <v>1921</v>
      </c>
      <c r="H1794">
        <v>0</v>
      </c>
      <c r="I1794">
        <v>0</v>
      </c>
      <c r="J1794">
        <v>0</v>
      </c>
      <c r="K1794">
        <v>-0</v>
      </c>
    </row>
    <row r="1795" spans="1:14">
      <c r="A1795" s="1" t="s">
        <v>1807</v>
      </c>
      <c r="B1795">
        <f>HYPERLINK("https://www.suredividend.com/sure-analysis-VGR/","Vector Group Ltd")</f>
        <v>0</v>
      </c>
      <c r="C1795" t="s">
        <v>1928</v>
      </c>
      <c r="D1795">
        <v>12.18</v>
      </c>
      <c r="E1795">
        <v>0.06568144499178982</v>
      </c>
      <c r="F1795" t="s">
        <v>1921</v>
      </c>
      <c r="G1795" t="s">
        <v>1921</v>
      </c>
      <c r="H1795">
        <v>0.7772543629552211</v>
      </c>
      <c r="I1795">
        <v>1885.414086</v>
      </c>
      <c r="J1795">
        <v>12.56080215825134</v>
      </c>
      <c r="K1795">
        <v>0.7909375831436055</v>
      </c>
      <c r="L1795">
        <v>0.712414417379</v>
      </c>
      <c r="M1795">
        <v>12.62</v>
      </c>
      <c r="N1795">
        <v>8.48</v>
      </c>
    </row>
    <row r="1796" spans="1:14">
      <c r="A1796" s="1" t="s">
        <v>1808</v>
      </c>
      <c r="B1796">
        <f>HYPERLINK("https://www.suredividend.com/sure-analysis-research-database/","Virnetx Holding Corp")</f>
        <v>0</v>
      </c>
      <c r="C1796" t="s">
        <v>1920</v>
      </c>
      <c r="D1796">
        <v>1.52</v>
      </c>
      <c r="E1796">
        <v>0</v>
      </c>
      <c r="F1796" t="s">
        <v>1921</v>
      </c>
      <c r="G1796" t="s">
        <v>1921</v>
      </c>
      <c r="H1796">
        <v>0</v>
      </c>
      <c r="I1796">
        <v>108.565468</v>
      </c>
      <c r="J1796" t="s">
        <v>1921</v>
      </c>
      <c r="K1796">
        <v>-0</v>
      </c>
      <c r="L1796">
        <v>1.132398467277059</v>
      </c>
      <c r="M1796">
        <v>2.74</v>
      </c>
      <c r="N1796">
        <v>0.9901000000000001</v>
      </c>
    </row>
    <row r="1797" spans="1:14">
      <c r="A1797" s="1" t="s">
        <v>1809</v>
      </c>
      <c r="B1797">
        <f>HYPERLINK("https://www.suredividend.com/sure-analysis-research-database/","Valhi, Inc.")</f>
        <v>0</v>
      </c>
      <c r="C1797" t="s">
        <v>1925</v>
      </c>
      <c r="D1797">
        <v>23.19</v>
      </c>
      <c r="E1797">
        <v>0.013741005239</v>
      </c>
      <c r="F1797">
        <v>0</v>
      </c>
      <c r="G1797">
        <v>0.3195079107728942</v>
      </c>
      <c r="H1797">
        <v>0.318653911492416</v>
      </c>
      <c r="I1797">
        <v>655.8014429999999</v>
      </c>
      <c r="J1797">
        <v>4.325867036081794</v>
      </c>
      <c r="K1797">
        <v>0.05989735178428872</v>
      </c>
      <c r="L1797">
        <v>1.006859359995175</v>
      </c>
      <c r="M1797">
        <v>53.75</v>
      </c>
      <c r="N1797">
        <v>20.76</v>
      </c>
    </row>
    <row r="1798" spans="1:14">
      <c r="A1798" s="1" t="s">
        <v>1810</v>
      </c>
      <c r="B1798">
        <f>HYPERLINK("https://www.suredividend.com/sure-analysis-VIA/","Via Renewables Inc")</f>
        <v>0</v>
      </c>
      <c r="C1798" t="s">
        <v>1921</v>
      </c>
      <c r="D1798">
        <v>5.34</v>
      </c>
      <c r="E1798">
        <v>0.1367041198501873</v>
      </c>
      <c r="F1798">
        <v>0</v>
      </c>
      <c r="G1798">
        <v>-0.01949547127272599</v>
      </c>
      <c r="H1798">
        <v>0.703522003887732</v>
      </c>
      <c r="I1798">
        <v>84.68047</v>
      </c>
      <c r="J1798">
        <v>0</v>
      </c>
      <c r="K1798" t="s">
        <v>1921</v>
      </c>
      <c r="L1798">
        <v>0.6945011266894141</v>
      </c>
      <c r="M1798">
        <v>11.07</v>
      </c>
      <c r="N1798">
        <v>4.89</v>
      </c>
    </row>
    <row r="1799" spans="1:14">
      <c r="A1799" s="1" t="s">
        <v>1811</v>
      </c>
      <c r="B1799">
        <f>HYPERLINK("https://www.suredividend.com/sure-analysis-research-database/","Viavi Solutions Inc")</f>
        <v>0</v>
      </c>
      <c r="C1799" t="s">
        <v>1920</v>
      </c>
      <c r="D1799">
        <v>11.1</v>
      </c>
      <c r="E1799">
        <v>0</v>
      </c>
      <c r="F1799" t="s">
        <v>1921</v>
      </c>
      <c r="G1799" t="s">
        <v>1921</v>
      </c>
      <c r="H1799">
        <v>0</v>
      </c>
      <c r="I1799">
        <v>2512.579117</v>
      </c>
      <c r="J1799">
        <v>24.41767849271137</v>
      </c>
      <c r="K1799">
        <v>0</v>
      </c>
      <c r="L1799">
        <v>0.969965316282917</v>
      </c>
      <c r="M1799">
        <v>17.57</v>
      </c>
      <c r="N1799">
        <v>9.99</v>
      </c>
    </row>
    <row r="1800" spans="1:14">
      <c r="A1800" s="1" t="s">
        <v>1812</v>
      </c>
      <c r="B1800">
        <f>HYPERLINK("https://www.suredividend.com/sure-analysis-research-database/","Vicor Corp.")</f>
        <v>0</v>
      </c>
      <c r="C1800" t="s">
        <v>1920</v>
      </c>
      <c r="D1800">
        <v>57.06</v>
      </c>
      <c r="E1800">
        <v>0</v>
      </c>
      <c r="F1800" t="s">
        <v>1921</v>
      </c>
      <c r="G1800" t="s">
        <v>1921</v>
      </c>
      <c r="H1800">
        <v>0</v>
      </c>
      <c r="I1800">
        <v>1843.341274</v>
      </c>
      <c r="J1800">
        <v>70.1850926705757</v>
      </c>
      <c r="K1800">
        <v>0</v>
      </c>
      <c r="L1800">
        <v>1.780421947352415</v>
      </c>
      <c r="M1800">
        <v>118.63</v>
      </c>
      <c r="N1800">
        <v>42.9</v>
      </c>
    </row>
    <row r="1801" spans="1:14">
      <c r="A1801" s="1" t="s">
        <v>1813</v>
      </c>
      <c r="B1801">
        <f>HYPERLINK("https://www.suredividend.com/sure-analysis-research-database/","View Inc.")</f>
        <v>0</v>
      </c>
      <c r="C1801" t="s">
        <v>1921</v>
      </c>
      <c r="D1801">
        <v>0.8250000000000001</v>
      </c>
      <c r="E1801">
        <v>0</v>
      </c>
      <c r="F1801" t="s">
        <v>1921</v>
      </c>
      <c r="G1801" t="s">
        <v>1921</v>
      </c>
      <c r="H1801">
        <v>0</v>
      </c>
      <c r="I1801">
        <v>182.837229</v>
      </c>
      <c r="J1801">
        <v>0</v>
      </c>
      <c r="K1801" t="s">
        <v>1921</v>
      </c>
      <c r="L1801">
        <v>1.758734267069614</v>
      </c>
      <c r="M1801">
        <v>3.8</v>
      </c>
      <c r="N1801">
        <v>0.3741</v>
      </c>
    </row>
    <row r="1802" spans="1:14">
      <c r="A1802" s="1" t="s">
        <v>1814</v>
      </c>
      <c r="B1802">
        <f>HYPERLINK("https://www.suredividend.com/sure-analysis-research-database/","Vigil Neuroscience Inc")</f>
        <v>0</v>
      </c>
      <c r="C1802" t="s">
        <v>1921</v>
      </c>
      <c r="D1802">
        <v>12.04</v>
      </c>
      <c r="E1802">
        <v>0</v>
      </c>
      <c r="F1802" t="s">
        <v>1921</v>
      </c>
      <c r="G1802" t="s">
        <v>1921</v>
      </c>
      <c r="H1802">
        <v>0</v>
      </c>
      <c r="I1802">
        <v>428.396336</v>
      </c>
      <c r="J1802">
        <v>0</v>
      </c>
      <c r="K1802" t="s">
        <v>1921</v>
      </c>
      <c r="L1802">
        <v>0.9054928337532551</v>
      </c>
      <c r="M1802">
        <v>18.27</v>
      </c>
      <c r="N1802">
        <v>2.18</v>
      </c>
    </row>
    <row r="1803" spans="1:14">
      <c r="A1803" s="1" t="s">
        <v>1815</v>
      </c>
      <c r="B1803">
        <f>HYPERLINK("https://www.suredividend.com/sure-analysis-research-database/","Vincerx Pharma Inc")</f>
        <v>0</v>
      </c>
      <c r="C1803" t="s">
        <v>1921</v>
      </c>
      <c r="D1803">
        <v>1.05</v>
      </c>
      <c r="E1803">
        <v>0</v>
      </c>
      <c r="F1803" t="s">
        <v>1921</v>
      </c>
      <c r="G1803" t="s">
        <v>1921</v>
      </c>
      <c r="H1803">
        <v>0</v>
      </c>
      <c r="I1803">
        <v>22.249257</v>
      </c>
      <c r="J1803">
        <v>0</v>
      </c>
      <c r="K1803" t="s">
        <v>1921</v>
      </c>
      <c r="L1803">
        <v>0.8366083548709481</v>
      </c>
      <c r="M1803">
        <v>9.119999999999999</v>
      </c>
      <c r="N1803">
        <v>0.6311</v>
      </c>
    </row>
    <row r="1804" spans="1:14">
      <c r="A1804" s="1" t="s">
        <v>1816</v>
      </c>
      <c r="B1804">
        <f>HYPERLINK("https://www.suredividend.com/sure-analysis-research-database/","Vir Biotechnology Inc")</f>
        <v>0</v>
      </c>
      <c r="C1804" t="s">
        <v>1922</v>
      </c>
      <c r="D1804">
        <v>26.09</v>
      </c>
      <c r="E1804">
        <v>0</v>
      </c>
      <c r="F1804" t="s">
        <v>1921</v>
      </c>
      <c r="G1804" t="s">
        <v>1921</v>
      </c>
      <c r="H1804">
        <v>0</v>
      </c>
      <c r="I1804">
        <v>3472.986552</v>
      </c>
      <c r="J1804">
        <v>3.039297092563713</v>
      </c>
      <c r="K1804">
        <v>0</v>
      </c>
      <c r="L1804">
        <v>1.411408462056457</v>
      </c>
      <c r="M1804">
        <v>41.23</v>
      </c>
      <c r="N1804">
        <v>18.05</v>
      </c>
    </row>
    <row r="1805" spans="1:14">
      <c r="A1805" s="1" t="s">
        <v>1817</v>
      </c>
      <c r="B1805">
        <f>HYPERLINK("https://www.suredividend.com/sure-analysis-research-database/","Viracta Therapeutics Inc")</f>
        <v>0</v>
      </c>
      <c r="C1805" t="s">
        <v>1921</v>
      </c>
      <c r="D1805">
        <v>2.02</v>
      </c>
      <c r="E1805">
        <v>0</v>
      </c>
      <c r="F1805" t="s">
        <v>1921</v>
      </c>
      <c r="G1805" t="s">
        <v>1921</v>
      </c>
      <c r="H1805">
        <v>0</v>
      </c>
      <c r="I1805">
        <v>77.158637</v>
      </c>
      <c r="J1805">
        <v>0</v>
      </c>
      <c r="K1805" t="s">
        <v>1921</v>
      </c>
      <c r="L1805">
        <v>1.389852017926309</v>
      </c>
      <c r="M1805">
        <v>5.75</v>
      </c>
      <c r="N1805">
        <v>1.21</v>
      </c>
    </row>
    <row r="1806" spans="1:14">
      <c r="A1806" s="1" t="s">
        <v>1818</v>
      </c>
      <c r="B1806">
        <f>HYPERLINK("https://www.suredividend.com/sure-analysis-research-database/","Vital Farms Inc")</f>
        <v>0</v>
      </c>
      <c r="C1806" t="s">
        <v>1921</v>
      </c>
      <c r="D1806">
        <v>15.26</v>
      </c>
      <c r="E1806">
        <v>0</v>
      </c>
      <c r="F1806" t="s">
        <v>1921</v>
      </c>
      <c r="G1806" t="s">
        <v>1921</v>
      </c>
      <c r="H1806">
        <v>0</v>
      </c>
      <c r="I1806">
        <v>621.568474</v>
      </c>
      <c r="J1806">
        <v>0</v>
      </c>
      <c r="K1806" t="s">
        <v>1921</v>
      </c>
      <c r="L1806">
        <v>0.896423027896984</v>
      </c>
      <c r="M1806">
        <v>19.38</v>
      </c>
      <c r="N1806">
        <v>7.89</v>
      </c>
    </row>
    <row r="1807" spans="1:14">
      <c r="A1807" s="1" t="s">
        <v>1819</v>
      </c>
      <c r="B1807">
        <f>HYPERLINK("https://www.suredividend.com/sure-analysis-research-database/","Meridian Bioscience Inc.")</f>
        <v>0</v>
      </c>
      <c r="C1807" t="s">
        <v>1922</v>
      </c>
      <c r="D1807">
        <v>33.57</v>
      </c>
      <c r="E1807">
        <v>0</v>
      </c>
      <c r="F1807" t="s">
        <v>1921</v>
      </c>
      <c r="G1807" t="s">
        <v>1921</v>
      </c>
      <c r="H1807">
        <v>0</v>
      </c>
      <c r="I1807">
        <v>1471.299884</v>
      </c>
      <c r="J1807">
        <v>34.6522500254363</v>
      </c>
      <c r="K1807">
        <v>0</v>
      </c>
      <c r="L1807">
        <v>0.464055603659742</v>
      </c>
      <c r="M1807">
        <v>34.38</v>
      </c>
      <c r="N1807">
        <v>19.91</v>
      </c>
    </row>
    <row r="1808" spans="1:14">
      <c r="A1808" s="1" t="s">
        <v>1820</v>
      </c>
      <c r="B1808">
        <f>HYPERLINK("https://www.suredividend.com/sure-analysis-research-database/","Viking Therapeutics Inc")</f>
        <v>0</v>
      </c>
      <c r="C1808" t="s">
        <v>1922</v>
      </c>
      <c r="D1808">
        <v>8.42</v>
      </c>
      <c r="E1808">
        <v>0</v>
      </c>
      <c r="F1808" t="s">
        <v>1921</v>
      </c>
      <c r="G1808" t="s">
        <v>1921</v>
      </c>
      <c r="H1808">
        <v>0</v>
      </c>
      <c r="I1808">
        <v>645.716985</v>
      </c>
      <c r="J1808">
        <v>0</v>
      </c>
      <c r="K1808" t="s">
        <v>1921</v>
      </c>
      <c r="L1808">
        <v>0.9963119140113281</v>
      </c>
      <c r="M1808">
        <v>9.619999999999999</v>
      </c>
      <c r="N1808">
        <v>2.02</v>
      </c>
    </row>
    <row r="1809" spans="1:14">
      <c r="A1809" s="1" t="s">
        <v>1821</v>
      </c>
      <c r="B1809">
        <f>HYPERLINK("https://www.suredividend.com/sure-analysis-research-database/","Velodyne Lidar Inc")</f>
        <v>0</v>
      </c>
      <c r="C1809" t="s">
        <v>1921</v>
      </c>
      <c r="D1809">
        <v>0.8665</v>
      </c>
      <c r="E1809">
        <v>0</v>
      </c>
      <c r="F1809" t="s">
        <v>1921</v>
      </c>
      <c r="G1809" t="s">
        <v>1921</v>
      </c>
      <c r="H1809">
        <v>0</v>
      </c>
      <c r="I1809">
        <v>206.471238</v>
      </c>
      <c r="J1809">
        <v>0</v>
      </c>
      <c r="K1809" t="s">
        <v>1921</v>
      </c>
      <c r="L1809">
        <v>2.124984673695455</v>
      </c>
      <c r="M1809">
        <v>4.87</v>
      </c>
      <c r="N1809">
        <v>0.712</v>
      </c>
    </row>
    <row r="1810" spans="1:14">
      <c r="A1810" s="1" t="s">
        <v>1822</v>
      </c>
      <c r="B1810">
        <f>HYPERLINK("https://www.suredividend.com/sure-analysis-research-database/","Village Super Market, Inc.")</f>
        <v>0</v>
      </c>
      <c r="C1810" t="s">
        <v>1928</v>
      </c>
      <c r="D1810">
        <v>22.78</v>
      </c>
      <c r="E1810">
        <v>0.04315984193768101</v>
      </c>
      <c r="F1810">
        <v>0</v>
      </c>
      <c r="G1810">
        <v>0</v>
      </c>
      <c r="H1810">
        <v>0.9831811993403821</v>
      </c>
      <c r="I1810">
        <v>232.780756</v>
      </c>
      <c r="J1810">
        <v>0</v>
      </c>
      <c r="K1810" t="s">
        <v>1921</v>
      </c>
      <c r="L1810">
        <v>0.387986190507902</v>
      </c>
      <c r="M1810">
        <v>24.16</v>
      </c>
      <c r="N1810">
        <v>18.65</v>
      </c>
    </row>
    <row r="1811" spans="1:14">
      <c r="A1811" s="1" t="s">
        <v>1823</v>
      </c>
      <c r="B1811">
        <f>HYPERLINK("https://www.suredividend.com/sure-analysis-research-database/","Valley National Bancorp")</f>
        <v>0</v>
      </c>
      <c r="C1811" t="s">
        <v>1923</v>
      </c>
      <c r="D1811">
        <v>11.1</v>
      </c>
      <c r="E1811">
        <v>0.039074114841414</v>
      </c>
      <c r="F1811">
        <v>0</v>
      </c>
      <c r="G1811">
        <v>0</v>
      </c>
      <c r="H1811">
        <v>0.4337226747397041</v>
      </c>
      <c r="I1811">
        <v>5620.55967</v>
      </c>
      <c r="J1811">
        <v>11.38664060634914</v>
      </c>
      <c r="K1811">
        <v>0.4091723346600981</v>
      </c>
      <c r="L1811">
        <v>0.9457598863489681</v>
      </c>
      <c r="M1811">
        <v>14.55</v>
      </c>
      <c r="N1811">
        <v>9.82</v>
      </c>
    </row>
    <row r="1812" spans="1:14">
      <c r="A1812" s="1" t="s">
        <v>1824</v>
      </c>
      <c r="B1812">
        <f>HYPERLINK("https://www.suredividend.com/sure-analysis-research-database/","Viemed Healthcare Inc")</f>
        <v>0</v>
      </c>
      <c r="C1812" t="s">
        <v>1922</v>
      </c>
      <c r="D1812">
        <v>7.85</v>
      </c>
      <c r="E1812">
        <v>0</v>
      </c>
      <c r="F1812" t="s">
        <v>1921</v>
      </c>
      <c r="G1812" t="s">
        <v>1921</v>
      </c>
      <c r="H1812">
        <v>0</v>
      </c>
      <c r="I1812">
        <v>311.177046</v>
      </c>
      <c r="J1812">
        <v>39.53462657857959</v>
      </c>
      <c r="K1812">
        <v>0</v>
      </c>
      <c r="L1812">
        <v>0.53612629779719</v>
      </c>
      <c r="M1812">
        <v>8.06</v>
      </c>
      <c r="N1812">
        <v>3.56</v>
      </c>
    </row>
    <row r="1813" spans="1:14">
      <c r="A1813" s="1" t="s">
        <v>1825</v>
      </c>
      <c r="B1813">
        <f>HYPERLINK("https://www.suredividend.com/sure-analysis-research-database/","Vanda Pharmaceuticals Inc")</f>
        <v>0</v>
      </c>
      <c r="C1813" t="s">
        <v>1922</v>
      </c>
      <c r="D1813">
        <v>7.47</v>
      </c>
      <c r="E1813">
        <v>0</v>
      </c>
      <c r="F1813" t="s">
        <v>1921</v>
      </c>
      <c r="G1813" t="s">
        <v>1921</v>
      </c>
      <c r="H1813">
        <v>0</v>
      </c>
      <c r="I1813">
        <v>422.727659</v>
      </c>
      <c r="J1813">
        <v>65.11516613678373</v>
      </c>
      <c r="K1813">
        <v>0</v>
      </c>
      <c r="L1813">
        <v>0.68789717512806</v>
      </c>
      <c r="M1813">
        <v>15.38</v>
      </c>
      <c r="N1813">
        <v>6.73</v>
      </c>
    </row>
    <row r="1814" spans="1:14">
      <c r="A1814" s="1" t="s">
        <v>1826</v>
      </c>
      <c r="B1814">
        <f>HYPERLINK("https://www.suredividend.com/sure-analysis-research-database/","Vor Biopharma Inc")</f>
        <v>0</v>
      </c>
      <c r="C1814" t="s">
        <v>1921</v>
      </c>
      <c r="D1814">
        <v>6.1</v>
      </c>
      <c r="E1814">
        <v>0</v>
      </c>
      <c r="F1814" t="s">
        <v>1921</v>
      </c>
      <c r="G1814" t="s">
        <v>1921</v>
      </c>
      <c r="H1814">
        <v>0</v>
      </c>
      <c r="I1814">
        <v>400.461791</v>
      </c>
      <c r="J1814">
        <v>0</v>
      </c>
      <c r="K1814" t="s">
        <v>1921</v>
      </c>
      <c r="L1814">
        <v>1.194917892820488</v>
      </c>
      <c r="M1814">
        <v>11.28</v>
      </c>
      <c r="N1814">
        <v>3.48</v>
      </c>
    </row>
    <row r="1815" spans="1:14">
      <c r="A1815" s="1" t="s">
        <v>1827</v>
      </c>
      <c r="B1815">
        <f>HYPERLINK("https://www.suredividend.com/sure-analysis-research-database/","VOXX International Corp")</f>
        <v>0</v>
      </c>
      <c r="C1815" t="s">
        <v>1927</v>
      </c>
      <c r="D1815">
        <v>9.07</v>
      </c>
      <c r="E1815">
        <v>0</v>
      </c>
      <c r="F1815" t="s">
        <v>1921</v>
      </c>
      <c r="G1815" t="s">
        <v>1921</v>
      </c>
      <c r="H1815">
        <v>0</v>
      </c>
      <c r="I1815">
        <v>196.601012</v>
      </c>
      <c r="J1815" t="s">
        <v>1921</v>
      </c>
      <c r="K1815">
        <v>-0</v>
      </c>
      <c r="L1815">
        <v>1.531792054018322</v>
      </c>
      <c r="M1815">
        <v>13.34</v>
      </c>
      <c r="N1815">
        <v>5.85</v>
      </c>
    </row>
    <row r="1816" spans="1:14">
      <c r="A1816" s="1" t="s">
        <v>1828</v>
      </c>
      <c r="B1816">
        <f>HYPERLINK("https://www.suredividend.com/sure-analysis-research-database/","Vishay Precision Group Inc")</f>
        <v>0</v>
      </c>
      <c r="C1816" t="s">
        <v>1920</v>
      </c>
      <c r="D1816">
        <v>40.49</v>
      </c>
      <c r="E1816">
        <v>0</v>
      </c>
      <c r="F1816" t="s">
        <v>1921</v>
      </c>
      <c r="G1816" t="s">
        <v>1921</v>
      </c>
      <c r="H1816">
        <v>0</v>
      </c>
      <c r="I1816">
        <v>508.18088</v>
      </c>
      <c r="J1816">
        <v>0</v>
      </c>
      <c r="K1816" t="s">
        <v>1921</v>
      </c>
      <c r="L1816">
        <v>0.7052309913154291</v>
      </c>
      <c r="M1816">
        <v>41.63</v>
      </c>
      <c r="N1816">
        <v>27.03</v>
      </c>
    </row>
    <row r="1817" spans="1:14">
      <c r="A1817" s="1" t="s">
        <v>1829</v>
      </c>
      <c r="B1817">
        <f>HYPERLINK("https://www.suredividend.com/sure-analysis-research-database/","Vera Bradley Inc")</f>
        <v>0</v>
      </c>
      <c r="C1817" t="s">
        <v>1927</v>
      </c>
      <c r="D1817">
        <v>5.19</v>
      </c>
      <c r="E1817">
        <v>0</v>
      </c>
      <c r="F1817" t="s">
        <v>1921</v>
      </c>
      <c r="G1817" t="s">
        <v>1921</v>
      </c>
      <c r="H1817">
        <v>0</v>
      </c>
      <c r="I1817">
        <v>160.24563</v>
      </c>
      <c r="J1817" t="s">
        <v>1921</v>
      </c>
      <c r="K1817">
        <v>-0</v>
      </c>
      <c r="L1817">
        <v>1.284907344504938</v>
      </c>
      <c r="M1817">
        <v>8.630000000000001</v>
      </c>
      <c r="N1817">
        <v>2.84</v>
      </c>
    </row>
    <row r="1818" spans="1:14">
      <c r="A1818" s="1" t="s">
        <v>1830</v>
      </c>
      <c r="B1818">
        <f>HYPERLINK("https://www.suredividend.com/sure-analysis-research-database/","ViewRay Inc.")</f>
        <v>0</v>
      </c>
      <c r="C1818" t="s">
        <v>1922</v>
      </c>
      <c r="D1818">
        <v>4.61</v>
      </c>
      <c r="E1818">
        <v>0</v>
      </c>
      <c r="F1818" t="s">
        <v>1921</v>
      </c>
      <c r="G1818" t="s">
        <v>1921</v>
      </c>
      <c r="H1818">
        <v>0</v>
      </c>
      <c r="I1818">
        <v>836.326746</v>
      </c>
      <c r="J1818">
        <v>0</v>
      </c>
      <c r="K1818" t="s">
        <v>1921</v>
      </c>
      <c r="L1818">
        <v>1.385186287264404</v>
      </c>
      <c r="M1818">
        <v>5.33</v>
      </c>
      <c r="N1818">
        <v>2.39</v>
      </c>
    </row>
    <row r="1819" spans="1:14">
      <c r="A1819" s="1" t="s">
        <v>1831</v>
      </c>
      <c r="B1819">
        <f>HYPERLINK("https://www.suredividend.com/sure-analysis-research-database/","Verrica Pharmaceuticals Inc")</f>
        <v>0</v>
      </c>
      <c r="C1819" t="s">
        <v>1922</v>
      </c>
      <c r="D1819">
        <v>4.34</v>
      </c>
      <c r="E1819">
        <v>0</v>
      </c>
      <c r="F1819" t="s">
        <v>1921</v>
      </c>
      <c r="G1819" t="s">
        <v>1921</v>
      </c>
      <c r="H1819">
        <v>0</v>
      </c>
      <c r="I1819">
        <v>178.34819</v>
      </c>
      <c r="J1819">
        <v>0</v>
      </c>
      <c r="K1819" t="s">
        <v>1921</v>
      </c>
      <c r="L1819">
        <v>1.310260836091573</v>
      </c>
      <c r="M1819">
        <v>9.34</v>
      </c>
      <c r="N1819">
        <v>1.77</v>
      </c>
    </row>
    <row r="1820" spans="1:14">
      <c r="A1820" s="1" t="s">
        <v>1832</v>
      </c>
      <c r="B1820">
        <f>HYPERLINK("https://www.suredividend.com/sure-analysis-research-database/","Veris Residential Inc")</f>
        <v>0</v>
      </c>
      <c r="C1820" t="s">
        <v>1921</v>
      </c>
      <c r="D1820">
        <v>16.38</v>
      </c>
      <c r="E1820">
        <v>0</v>
      </c>
      <c r="F1820" t="s">
        <v>1921</v>
      </c>
      <c r="G1820" t="s">
        <v>1921</v>
      </c>
      <c r="H1820">
        <v>0</v>
      </c>
      <c r="I1820">
        <v>1491.948434</v>
      </c>
      <c r="J1820" t="s">
        <v>1921</v>
      </c>
      <c r="K1820">
        <v>-0</v>
      </c>
      <c r="L1820">
        <v>0.8747900589601131</v>
      </c>
      <c r="M1820">
        <v>19.43</v>
      </c>
      <c r="N1820">
        <v>10.22</v>
      </c>
    </row>
    <row r="1821" spans="1:14">
      <c r="A1821" s="1" t="s">
        <v>1833</v>
      </c>
      <c r="B1821">
        <f>HYPERLINK("https://www.suredividend.com/sure-analysis-research-database/","Varex Imaging Corp")</f>
        <v>0</v>
      </c>
      <c r="C1821" t="s">
        <v>1922</v>
      </c>
      <c r="D1821">
        <v>20.11</v>
      </c>
      <c r="E1821">
        <v>0</v>
      </c>
      <c r="F1821" t="s">
        <v>1921</v>
      </c>
      <c r="G1821" t="s">
        <v>1921</v>
      </c>
      <c r="H1821">
        <v>0</v>
      </c>
      <c r="I1821">
        <v>806.151581</v>
      </c>
      <c r="J1821">
        <v>26.60566273927393</v>
      </c>
      <c r="K1821">
        <v>0</v>
      </c>
      <c r="L1821">
        <v>0.7048203832071961</v>
      </c>
      <c r="M1821">
        <v>30.1</v>
      </c>
      <c r="N1821">
        <v>18.9</v>
      </c>
    </row>
    <row r="1822" spans="1:14">
      <c r="A1822" s="1" t="s">
        <v>1834</v>
      </c>
      <c r="B1822">
        <f>HYPERLINK("https://www.suredividend.com/sure-analysis-research-database/","Varonis Systems Inc")</f>
        <v>0</v>
      </c>
      <c r="C1822" t="s">
        <v>1920</v>
      </c>
      <c r="D1822">
        <v>23.77</v>
      </c>
      <c r="E1822">
        <v>0</v>
      </c>
      <c r="F1822" t="s">
        <v>1921</v>
      </c>
      <c r="G1822" t="s">
        <v>1921</v>
      </c>
      <c r="H1822">
        <v>0</v>
      </c>
      <c r="I1822">
        <v>2619.931325</v>
      </c>
      <c r="J1822" t="s">
        <v>1921</v>
      </c>
      <c r="K1822">
        <v>-0</v>
      </c>
      <c r="L1822">
        <v>1.612166455898901</v>
      </c>
      <c r="M1822">
        <v>51.6</v>
      </c>
      <c r="N1822">
        <v>15.61</v>
      </c>
    </row>
    <row r="1823" spans="1:14">
      <c r="A1823" s="1" t="s">
        <v>1835</v>
      </c>
      <c r="B1823">
        <f>HYPERLINK("https://www.suredividend.com/sure-analysis-research-database/","Verint Systems, Inc.")</f>
        <v>0</v>
      </c>
      <c r="C1823" t="s">
        <v>1920</v>
      </c>
      <c r="D1823">
        <v>36.24</v>
      </c>
      <c r="E1823">
        <v>0</v>
      </c>
      <c r="F1823" t="s">
        <v>1921</v>
      </c>
      <c r="G1823" t="s">
        <v>1921</v>
      </c>
      <c r="H1823">
        <v>0</v>
      </c>
      <c r="I1823">
        <v>2386.993154</v>
      </c>
      <c r="J1823" t="s">
        <v>1921</v>
      </c>
      <c r="K1823">
        <v>-0</v>
      </c>
      <c r="L1823">
        <v>0.9685068408570781</v>
      </c>
      <c r="M1823">
        <v>56.39</v>
      </c>
      <c r="N1823">
        <v>31.63</v>
      </c>
    </row>
    <row r="1824" spans="1:14">
      <c r="A1824" s="1" t="s">
        <v>1836</v>
      </c>
      <c r="B1824">
        <f>HYPERLINK("https://www.suredividend.com/sure-analysis-research-database/","Verra Mobility Corp")</f>
        <v>0</v>
      </c>
      <c r="C1824" t="s">
        <v>1924</v>
      </c>
      <c r="D1824">
        <v>13.98</v>
      </c>
      <c r="E1824">
        <v>0</v>
      </c>
      <c r="F1824" t="s">
        <v>1921</v>
      </c>
      <c r="G1824" t="s">
        <v>1921</v>
      </c>
      <c r="H1824">
        <v>0</v>
      </c>
      <c r="I1824">
        <v>2095.262398</v>
      </c>
      <c r="J1824">
        <v>25.14626691117698</v>
      </c>
      <c r="K1824">
        <v>0</v>
      </c>
      <c r="L1824">
        <v>0.8647237270382181</v>
      </c>
      <c r="M1824">
        <v>18.13</v>
      </c>
      <c r="N1824">
        <v>12.7</v>
      </c>
    </row>
    <row r="1825" spans="1:14">
      <c r="A1825" s="1" t="s">
        <v>1837</v>
      </c>
      <c r="B1825">
        <f>HYPERLINK("https://www.suredividend.com/sure-analysis-research-database/","Virtus Investment Partners Inc")</f>
        <v>0</v>
      </c>
      <c r="C1825" t="s">
        <v>1923</v>
      </c>
      <c r="D1825">
        <v>205.69</v>
      </c>
      <c r="E1825">
        <v>0.029520157037301</v>
      </c>
      <c r="F1825">
        <v>0.09999999999999987</v>
      </c>
      <c r="G1825">
        <v>0.2967441161096582</v>
      </c>
      <c r="H1825">
        <v>6.072001101002535</v>
      </c>
      <c r="I1825">
        <v>1487.544526</v>
      </c>
      <c r="J1825">
        <v>11.2708990413014</v>
      </c>
      <c r="K1825">
        <v>0.3550877836843588</v>
      </c>
      <c r="L1825">
        <v>1.484411866854769</v>
      </c>
      <c r="M1825">
        <v>286.22</v>
      </c>
      <c r="N1825">
        <v>140.44</v>
      </c>
    </row>
    <row r="1826" spans="1:14">
      <c r="A1826" s="1" t="s">
        <v>1838</v>
      </c>
      <c r="B1826">
        <f>HYPERLINK("https://www.suredividend.com/sure-analysis-research-database/","Veritiv Corp")</f>
        <v>0</v>
      </c>
      <c r="C1826" t="s">
        <v>1924</v>
      </c>
      <c r="D1826">
        <v>111.5</v>
      </c>
      <c r="E1826">
        <v>0.00565022417248</v>
      </c>
      <c r="F1826" t="s">
        <v>1921</v>
      </c>
      <c r="G1826" t="s">
        <v>1921</v>
      </c>
      <c r="H1826">
        <v>0.6299999952316281</v>
      </c>
      <c r="I1826">
        <v>1503.388285</v>
      </c>
      <c r="J1826">
        <v>0</v>
      </c>
      <c r="K1826" t="s">
        <v>1921</v>
      </c>
      <c r="L1826">
        <v>1.228831799830409</v>
      </c>
      <c r="M1826">
        <v>160.31</v>
      </c>
      <c r="N1826">
        <v>85.15000000000001</v>
      </c>
    </row>
    <row r="1827" spans="1:14">
      <c r="A1827" s="1" t="s">
        <v>1839</v>
      </c>
      <c r="B1827">
        <f>HYPERLINK("https://www.suredividend.com/sure-analysis-research-database/","VSE Corp.")</f>
        <v>0</v>
      </c>
      <c r="C1827" t="s">
        <v>1924</v>
      </c>
      <c r="D1827">
        <v>49.03</v>
      </c>
      <c r="E1827">
        <v>0.008128319996308</v>
      </c>
      <c r="F1827">
        <v>0.1111111111111112</v>
      </c>
      <c r="G1827">
        <v>0.07394092378577932</v>
      </c>
      <c r="H1827">
        <v>0.3985315294189931</v>
      </c>
      <c r="I1827">
        <v>627.568212</v>
      </c>
      <c r="J1827">
        <v>21.33787400428412</v>
      </c>
      <c r="K1827">
        <v>0.1740312355541454</v>
      </c>
      <c r="L1827">
        <v>1.143036459329656</v>
      </c>
      <c r="M1827">
        <v>58.65</v>
      </c>
      <c r="N1827">
        <v>31.78</v>
      </c>
    </row>
    <row r="1828" spans="1:14">
      <c r="A1828" s="1" t="s">
        <v>1840</v>
      </c>
      <c r="B1828">
        <f>HYPERLINK("https://www.suredividend.com/sure-analysis-research-database/","Vishay Intertechnology, Inc.")</f>
        <v>0</v>
      </c>
      <c r="C1828" t="s">
        <v>1920</v>
      </c>
      <c r="D1828">
        <v>22.32</v>
      </c>
      <c r="E1828">
        <v>0.017789618897816</v>
      </c>
      <c r="F1828">
        <v>0</v>
      </c>
      <c r="G1828">
        <v>0.08178074106640287</v>
      </c>
      <c r="H1828">
        <v>0.3970642937992641</v>
      </c>
      <c r="I1828">
        <v>2891.952024</v>
      </c>
      <c r="J1828">
        <v>7.367185988256123</v>
      </c>
      <c r="K1828">
        <v>0.1465181895938244</v>
      </c>
      <c r="L1828">
        <v>1.107663997953499</v>
      </c>
      <c r="M1828">
        <v>23.39</v>
      </c>
      <c r="N1828">
        <v>16.56</v>
      </c>
    </row>
    <row r="1829" spans="1:14">
      <c r="A1829" s="1" t="s">
        <v>1841</v>
      </c>
      <c r="B1829">
        <f>HYPERLINK("https://www.suredividend.com/sure-analysis-research-database/","Verastem Inc")</f>
        <v>0</v>
      </c>
      <c r="C1829" t="s">
        <v>1922</v>
      </c>
      <c r="D1829">
        <v>0.44</v>
      </c>
      <c r="E1829">
        <v>0</v>
      </c>
      <c r="F1829" t="s">
        <v>1921</v>
      </c>
      <c r="G1829" t="s">
        <v>1921</v>
      </c>
      <c r="H1829">
        <v>0</v>
      </c>
      <c r="I1829">
        <v>92.43997400000001</v>
      </c>
      <c r="J1829">
        <v>0</v>
      </c>
      <c r="K1829" t="s">
        <v>1921</v>
      </c>
      <c r="L1829">
        <v>1.561975531273608</v>
      </c>
      <c r="M1829">
        <v>2.13</v>
      </c>
      <c r="N1829">
        <v>0.2895</v>
      </c>
    </row>
    <row r="1830" spans="1:14">
      <c r="A1830" s="1" t="s">
        <v>1842</v>
      </c>
      <c r="B1830">
        <f>HYPERLINK("https://www.suredividend.com/sure-analysis-research-database/","Vista Outdoor Inc")</f>
        <v>0</v>
      </c>
      <c r="C1830" t="s">
        <v>1927</v>
      </c>
      <c r="D1830">
        <v>26.18</v>
      </c>
      <c r="E1830">
        <v>0</v>
      </c>
      <c r="F1830" t="s">
        <v>1921</v>
      </c>
      <c r="G1830" t="s">
        <v>1921</v>
      </c>
      <c r="H1830">
        <v>0</v>
      </c>
      <c r="I1830">
        <v>1481.08402</v>
      </c>
      <c r="J1830">
        <v>3.288148506208498</v>
      </c>
      <c r="K1830">
        <v>0</v>
      </c>
      <c r="L1830">
        <v>1.117073298240756</v>
      </c>
      <c r="M1830">
        <v>46.53</v>
      </c>
      <c r="N1830">
        <v>22.97</v>
      </c>
    </row>
    <row r="1831" spans="1:14">
      <c r="A1831" s="1" t="s">
        <v>1843</v>
      </c>
      <c r="B1831">
        <f>HYPERLINK("https://www.suredividend.com/sure-analysis-research-database/","VistaGen Therapeutics Inc")</f>
        <v>0</v>
      </c>
      <c r="C1831" t="s">
        <v>1922</v>
      </c>
      <c r="D1831">
        <v>0.1483</v>
      </c>
      <c r="E1831">
        <v>0</v>
      </c>
      <c r="F1831" t="s">
        <v>1921</v>
      </c>
      <c r="G1831" t="s">
        <v>1921</v>
      </c>
      <c r="H1831">
        <v>0</v>
      </c>
      <c r="I1831">
        <v>30.67383</v>
      </c>
      <c r="J1831">
        <v>0</v>
      </c>
      <c r="K1831" t="s">
        <v>1921</v>
      </c>
      <c r="L1831">
        <v>1.666220492203063</v>
      </c>
      <c r="M1831">
        <v>1.85</v>
      </c>
      <c r="N1831">
        <v>0.07680000000000001</v>
      </c>
    </row>
    <row r="1832" spans="1:14">
      <c r="A1832" s="1" t="s">
        <v>1844</v>
      </c>
      <c r="B1832">
        <f>HYPERLINK("https://www.suredividend.com/sure-analysis-research-database/","Bristow Group Inc.")</f>
        <v>0</v>
      </c>
      <c r="C1832" t="s">
        <v>1921</v>
      </c>
      <c r="D1832">
        <v>27.21</v>
      </c>
      <c r="E1832">
        <v>0</v>
      </c>
      <c r="F1832" t="s">
        <v>1921</v>
      </c>
      <c r="G1832" t="s">
        <v>1921</v>
      </c>
      <c r="H1832">
        <v>0</v>
      </c>
      <c r="I1832">
        <v>762.325917</v>
      </c>
      <c r="J1832">
        <v>47.24379756321269</v>
      </c>
      <c r="K1832">
        <v>0</v>
      </c>
      <c r="L1832">
        <v>0.971071679774522</v>
      </c>
      <c r="M1832">
        <v>40.1</v>
      </c>
      <c r="N1832">
        <v>21.61</v>
      </c>
    </row>
    <row r="1833" spans="1:14">
      <c r="A1833" s="1" t="s">
        <v>1845</v>
      </c>
      <c r="B1833">
        <f>HYPERLINK("https://www.suredividend.com/sure-analysis-research-database/","Ventyx Biosciences Inc")</f>
        <v>0</v>
      </c>
      <c r="C1833" t="s">
        <v>1921</v>
      </c>
      <c r="D1833">
        <v>32.02</v>
      </c>
      <c r="E1833">
        <v>0</v>
      </c>
      <c r="F1833" t="s">
        <v>1921</v>
      </c>
      <c r="G1833" t="s">
        <v>1921</v>
      </c>
      <c r="H1833">
        <v>0</v>
      </c>
      <c r="I1833">
        <v>1813.531405</v>
      </c>
      <c r="J1833">
        <v>0</v>
      </c>
      <c r="K1833" t="s">
        <v>1921</v>
      </c>
      <c r="L1833">
        <v>1.454157483362359</v>
      </c>
      <c r="M1833">
        <v>41.29</v>
      </c>
      <c r="N1833">
        <v>9.5</v>
      </c>
    </row>
    <row r="1834" spans="1:14">
      <c r="A1834" s="1" t="s">
        <v>1846</v>
      </c>
      <c r="B1834">
        <f>HYPERLINK("https://www.suredividend.com/sure-analysis-research-database/","Vuzix Corporation")</f>
        <v>0</v>
      </c>
      <c r="C1834" t="s">
        <v>1920</v>
      </c>
      <c r="D1834">
        <v>4.11</v>
      </c>
      <c r="E1834">
        <v>0</v>
      </c>
      <c r="F1834" t="s">
        <v>1921</v>
      </c>
      <c r="G1834" t="s">
        <v>1921</v>
      </c>
      <c r="H1834">
        <v>0</v>
      </c>
      <c r="I1834">
        <v>261.969962</v>
      </c>
      <c r="J1834">
        <v>0</v>
      </c>
      <c r="K1834" t="s">
        <v>1921</v>
      </c>
      <c r="L1834">
        <v>1.995969833326263</v>
      </c>
      <c r="M1834">
        <v>10.49</v>
      </c>
      <c r="N1834">
        <v>3.27</v>
      </c>
    </row>
    <row r="1835" spans="1:14">
      <c r="A1835" s="1" t="s">
        <v>1847</v>
      </c>
      <c r="B1835">
        <f>HYPERLINK("https://www.suredividend.com/sure-analysis-research-database/","Viad Corp.")</f>
        <v>0</v>
      </c>
      <c r="C1835" t="s">
        <v>1924</v>
      </c>
      <c r="D1835">
        <v>24.96</v>
      </c>
      <c r="E1835">
        <v>0</v>
      </c>
      <c r="F1835" t="s">
        <v>1921</v>
      </c>
      <c r="G1835" t="s">
        <v>1921</v>
      </c>
      <c r="H1835">
        <v>0</v>
      </c>
      <c r="I1835">
        <v>515.928092</v>
      </c>
      <c r="J1835" t="s">
        <v>1921</v>
      </c>
      <c r="K1835">
        <v>-0</v>
      </c>
      <c r="L1835">
        <v>1.148473784053644</v>
      </c>
      <c r="M1835">
        <v>44.25</v>
      </c>
      <c r="N1835">
        <v>23.07</v>
      </c>
    </row>
    <row r="1836" spans="1:14">
      <c r="A1836" s="1" t="s">
        <v>1848</v>
      </c>
      <c r="B1836">
        <f>HYPERLINK("https://www.suredividend.com/sure-analysis-research-database/","Vivint Smart Home Inc")</f>
        <v>0</v>
      </c>
      <c r="C1836" t="s">
        <v>1924</v>
      </c>
      <c r="D1836">
        <v>11.94</v>
      </c>
      <c r="E1836">
        <v>0</v>
      </c>
      <c r="F1836" t="s">
        <v>1921</v>
      </c>
      <c r="G1836" t="s">
        <v>1921</v>
      </c>
      <c r="H1836">
        <v>0</v>
      </c>
      <c r="I1836">
        <v>2547.783086</v>
      </c>
      <c r="J1836">
        <v>0</v>
      </c>
      <c r="K1836" t="s">
        <v>1921</v>
      </c>
      <c r="L1836">
        <v>1.483586483006339</v>
      </c>
      <c r="M1836">
        <v>11.95</v>
      </c>
      <c r="N1836">
        <v>3.26</v>
      </c>
    </row>
    <row r="1837" spans="1:14">
      <c r="A1837" s="1" t="s">
        <v>1849</v>
      </c>
      <c r="B1837">
        <f>HYPERLINK("https://www.suredividend.com/sure-analysis-research-database/","Vaxart Inc")</f>
        <v>0</v>
      </c>
      <c r="C1837" t="s">
        <v>1922</v>
      </c>
      <c r="D1837">
        <v>0.9657</v>
      </c>
      <c r="E1837">
        <v>0</v>
      </c>
      <c r="F1837" t="s">
        <v>1921</v>
      </c>
      <c r="G1837" t="s">
        <v>1921</v>
      </c>
      <c r="H1837">
        <v>0</v>
      </c>
      <c r="I1837">
        <v>126.747242</v>
      </c>
      <c r="J1837" t="s">
        <v>1921</v>
      </c>
      <c r="K1837">
        <v>-0</v>
      </c>
      <c r="L1837">
        <v>2.329247140663765</v>
      </c>
      <c r="M1837">
        <v>6.24</v>
      </c>
      <c r="N1837">
        <v>0.7316</v>
      </c>
    </row>
    <row r="1838" spans="1:14">
      <c r="A1838" s="1" t="s">
        <v>1850</v>
      </c>
      <c r="B1838">
        <f>HYPERLINK("https://www.suredividend.com/sure-analysis-WABC/","Westamerica Bancorporation")</f>
        <v>0</v>
      </c>
      <c r="C1838" t="s">
        <v>1923</v>
      </c>
      <c r="D1838">
        <v>57.76</v>
      </c>
      <c r="E1838">
        <v>0.02908587257617729</v>
      </c>
      <c r="F1838">
        <v>0</v>
      </c>
      <c r="G1838">
        <v>0.009805797673485328</v>
      </c>
      <c r="H1838">
        <v>1.662350622428663</v>
      </c>
      <c r="I1838">
        <v>1554.465249</v>
      </c>
      <c r="J1838">
        <v>14.8880878184082</v>
      </c>
      <c r="K1838">
        <v>0.4284408820692431</v>
      </c>
      <c r="L1838">
        <v>0.453397467750241</v>
      </c>
      <c r="M1838">
        <v>63.86</v>
      </c>
      <c r="N1838">
        <v>51.68</v>
      </c>
    </row>
    <row r="1839" spans="1:14">
      <c r="A1839" s="1" t="s">
        <v>1851</v>
      </c>
      <c r="B1839">
        <f>HYPERLINK("https://www.suredividend.com/sure-analysis-WAFD/","Washington Federal Inc.")</f>
        <v>0</v>
      </c>
      <c r="C1839" t="s">
        <v>1923</v>
      </c>
      <c r="D1839">
        <v>33.61</v>
      </c>
      <c r="E1839">
        <v>0.02856292770008926</v>
      </c>
      <c r="F1839">
        <v>0.04347826086956519</v>
      </c>
      <c r="G1839">
        <v>0.07140202794100681</v>
      </c>
      <c r="H1839">
        <v>0.9500300670762031</v>
      </c>
      <c r="I1839">
        <v>2197.680093</v>
      </c>
      <c r="J1839">
        <v>9.912632068965516</v>
      </c>
      <c r="K1839">
        <v>0.2802448575446027</v>
      </c>
      <c r="L1839">
        <v>0.7018639721682181</v>
      </c>
      <c r="M1839">
        <v>38.91</v>
      </c>
      <c r="N1839">
        <v>29.06</v>
      </c>
    </row>
    <row r="1840" spans="1:14">
      <c r="A1840" s="1" t="s">
        <v>1852</v>
      </c>
      <c r="B1840">
        <f>HYPERLINK("https://www.suredividend.com/sure-analysis-WASH/","Washington Trust Bancorp, Inc.")</f>
        <v>0</v>
      </c>
      <c r="C1840" t="s">
        <v>1923</v>
      </c>
      <c r="D1840">
        <v>47.27</v>
      </c>
      <c r="E1840">
        <v>0.0473873492701502</v>
      </c>
      <c r="F1840">
        <v>0.03703703703703698</v>
      </c>
      <c r="G1840">
        <v>0.05425073941302982</v>
      </c>
      <c r="H1840">
        <v>2.703084475885298</v>
      </c>
      <c r="I1840">
        <v>812.141285</v>
      </c>
      <c r="J1840">
        <v>10.81830913148886</v>
      </c>
      <c r="K1840">
        <v>0.6271657716671225</v>
      </c>
      <c r="L1840">
        <v>0.5117402935919511</v>
      </c>
      <c r="M1840">
        <v>57.8</v>
      </c>
      <c r="N1840">
        <v>44.06</v>
      </c>
    </row>
    <row r="1841" spans="1:14">
      <c r="A1841" s="1" t="s">
        <v>1853</v>
      </c>
      <c r="B1841">
        <f>HYPERLINK("https://www.suredividend.com/sure-analysis-research-database/","Welbilt Inc")</f>
        <v>0</v>
      </c>
      <c r="C1841" t="s">
        <v>1924</v>
      </c>
      <c r="D1841">
        <v>24.01</v>
      </c>
      <c r="E1841">
        <v>0</v>
      </c>
      <c r="F1841" t="s">
        <v>1921</v>
      </c>
      <c r="G1841" t="s">
        <v>1921</v>
      </c>
      <c r="H1841">
        <v>0</v>
      </c>
      <c r="I1841">
        <v>3437.755786</v>
      </c>
      <c r="J1841">
        <v>52.64557099019908</v>
      </c>
      <c r="K1841">
        <v>0</v>
      </c>
      <c r="L1841">
        <v>0.074023481239715</v>
      </c>
      <c r="M1841">
        <v>24.01</v>
      </c>
      <c r="N1841">
        <v>22.9</v>
      </c>
    </row>
    <row r="1842" spans="1:14">
      <c r="A1842" s="1" t="s">
        <v>1854</v>
      </c>
      <c r="B1842">
        <f>HYPERLINK("https://www.suredividend.com/sure-analysis-research-database/","Wesco International, Inc.")</f>
        <v>0</v>
      </c>
      <c r="C1842" t="s">
        <v>1924</v>
      </c>
      <c r="D1842">
        <v>132.46</v>
      </c>
      <c r="E1842">
        <v>0</v>
      </c>
      <c r="F1842" t="s">
        <v>1921</v>
      </c>
      <c r="G1842" t="s">
        <v>1921</v>
      </c>
      <c r="H1842">
        <v>0</v>
      </c>
      <c r="I1842">
        <v>6734.752263</v>
      </c>
      <c r="J1842">
        <v>8.961078433649655</v>
      </c>
      <c r="K1842">
        <v>0</v>
      </c>
      <c r="L1842">
        <v>1.393330177358283</v>
      </c>
      <c r="M1842">
        <v>147.05</v>
      </c>
      <c r="N1842">
        <v>99</v>
      </c>
    </row>
    <row r="1843" spans="1:14">
      <c r="A1843" s="1" t="s">
        <v>1855</v>
      </c>
      <c r="B1843">
        <f>HYPERLINK("https://www.suredividend.com/sure-analysis-research-database/","Walker &amp; Dunlop Inc")</f>
        <v>0</v>
      </c>
      <c r="C1843" t="s">
        <v>1923</v>
      </c>
      <c r="D1843">
        <v>83.98999999999999</v>
      </c>
      <c r="E1843">
        <v>0.028304906890413</v>
      </c>
      <c r="F1843">
        <v>0.2000000000000002</v>
      </c>
      <c r="G1843">
        <v>0.1913578981670916</v>
      </c>
      <c r="H1843">
        <v>2.377329129725859</v>
      </c>
      <c r="I1843">
        <v>2772.684767</v>
      </c>
      <c r="J1843">
        <v>11.33734908603953</v>
      </c>
      <c r="K1843">
        <v>0.3157143598573518</v>
      </c>
      <c r="L1843">
        <v>1.172435075178909</v>
      </c>
      <c r="M1843">
        <v>149.57</v>
      </c>
      <c r="N1843">
        <v>74.78</v>
      </c>
    </row>
    <row r="1844" spans="1:14">
      <c r="A1844" s="1" t="s">
        <v>1856</v>
      </c>
      <c r="B1844">
        <f>HYPERLINK("https://www.suredividend.com/sure-analysis-WDFC/","WD-40 Co.")</f>
        <v>0</v>
      </c>
      <c r="C1844" t="s">
        <v>1925</v>
      </c>
      <c r="D1844">
        <v>162.6</v>
      </c>
      <c r="E1844">
        <v>0.02041820418204182</v>
      </c>
      <c r="F1844">
        <v>0.08333333333333348</v>
      </c>
      <c r="G1844">
        <v>0.07631692251481081</v>
      </c>
      <c r="H1844">
        <v>3.098996984259906</v>
      </c>
      <c r="I1844">
        <v>2208.095968</v>
      </c>
      <c r="J1844">
        <v>32.91833339694087</v>
      </c>
      <c r="K1844">
        <v>0.6324483641346746</v>
      </c>
      <c r="L1844">
        <v>0.593050973797388</v>
      </c>
      <c r="M1844">
        <v>251.92</v>
      </c>
      <c r="N1844">
        <v>145.16</v>
      </c>
    </row>
    <row r="1845" spans="1:14">
      <c r="A1845" s="1" t="s">
        <v>1857</v>
      </c>
      <c r="B1845">
        <f>HYPERLINK("https://www.suredividend.com/sure-analysis-research-database/","Weber Inc")</f>
        <v>0</v>
      </c>
      <c r="C1845" t="s">
        <v>1921</v>
      </c>
      <c r="D1845">
        <v>8.09</v>
      </c>
      <c r="E1845">
        <v>0.009863564748815001</v>
      </c>
      <c r="F1845" t="s">
        <v>1921</v>
      </c>
      <c r="G1845" t="s">
        <v>1921</v>
      </c>
      <c r="H1845">
        <v>0.079796238817918</v>
      </c>
      <c r="I1845">
        <v>434.743591</v>
      </c>
      <c r="J1845" t="s">
        <v>1921</v>
      </c>
      <c r="K1845" t="s">
        <v>1921</v>
      </c>
      <c r="L1845">
        <v>1.190428366415236</v>
      </c>
      <c r="M1845">
        <v>12.25</v>
      </c>
      <c r="N1845">
        <v>4.82</v>
      </c>
    </row>
    <row r="1846" spans="1:14">
      <c r="A1846" s="1" t="s">
        <v>1858</v>
      </c>
      <c r="B1846">
        <f>HYPERLINK("https://www.suredividend.com/sure-analysis-research-database/","Werner Enterprises, Inc.")</f>
        <v>0</v>
      </c>
      <c r="C1846" t="s">
        <v>1924</v>
      </c>
      <c r="D1846">
        <v>43.24</v>
      </c>
      <c r="E1846">
        <v>0.011737973643889</v>
      </c>
      <c r="F1846">
        <v>0.08333333333333348</v>
      </c>
      <c r="G1846">
        <v>0.07631692251481081</v>
      </c>
      <c r="H1846">
        <v>0.507549980361798</v>
      </c>
      <c r="I1846">
        <v>2732.856772</v>
      </c>
      <c r="J1846">
        <v>10.59834238248332</v>
      </c>
      <c r="K1846">
        <v>0.1288197919699995</v>
      </c>
      <c r="L1846">
        <v>0.740138732010944</v>
      </c>
      <c r="M1846">
        <v>46.43</v>
      </c>
      <c r="N1846">
        <v>35.73</v>
      </c>
    </row>
    <row r="1847" spans="1:14">
      <c r="A1847" s="1" t="s">
        <v>1859</v>
      </c>
      <c r="B1847">
        <f>HYPERLINK("https://www.suredividend.com/sure-analysis-research-database/","Wisdomtree Investments Inc")</f>
        <v>0</v>
      </c>
      <c r="C1847" t="s">
        <v>1923</v>
      </c>
      <c r="D1847">
        <v>5.26</v>
      </c>
      <c r="E1847">
        <v>0.022624810379209</v>
      </c>
      <c r="F1847">
        <v>0</v>
      </c>
      <c r="G1847">
        <v>0</v>
      </c>
      <c r="H1847">
        <v>0.11900650259464</v>
      </c>
      <c r="I1847">
        <v>771.036842</v>
      </c>
      <c r="J1847">
        <v>67.60515933888645</v>
      </c>
      <c r="K1847">
        <v>1.616936176557609</v>
      </c>
      <c r="L1847">
        <v>0.920225935937202</v>
      </c>
      <c r="M1847">
        <v>6.81</v>
      </c>
      <c r="N1847">
        <v>4.6</v>
      </c>
    </row>
    <row r="1848" spans="1:14">
      <c r="A1848" s="1" t="s">
        <v>1860</v>
      </c>
      <c r="B1848">
        <f>HYPERLINK("https://www.suredividend.com/sure-analysis-WGO/","Winnebago Industries, Inc.")</f>
        <v>0</v>
      </c>
      <c r="C1848" t="s">
        <v>1927</v>
      </c>
      <c r="D1848">
        <v>60.54</v>
      </c>
      <c r="E1848">
        <v>0.0178394449950446</v>
      </c>
      <c r="F1848">
        <v>0.5000000000000002</v>
      </c>
      <c r="G1848">
        <v>0.2197554094669347</v>
      </c>
      <c r="H1848">
        <v>0.8021560116099461</v>
      </c>
      <c r="I1848">
        <v>1849.015344</v>
      </c>
      <c r="J1848">
        <v>5.264760123004732</v>
      </c>
      <c r="K1848">
        <v>0.07596174352366913</v>
      </c>
      <c r="L1848">
        <v>1.263304451884585</v>
      </c>
      <c r="M1848">
        <v>75.09999999999999</v>
      </c>
      <c r="N1848">
        <v>42.52</v>
      </c>
    </row>
    <row r="1849" spans="1:14">
      <c r="A1849" s="1" t="s">
        <v>1861</v>
      </c>
      <c r="B1849">
        <f>HYPERLINK("https://www.suredividend.com/sure-analysis-research-database/","Cactus Inc")</f>
        <v>0</v>
      </c>
      <c r="C1849" t="s">
        <v>1926</v>
      </c>
      <c r="D1849">
        <v>55.28</v>
      </c>
      <c r="E1849">
        <v>0.007945532183240001</v>
      </c>
      <c r="F1849" t="s">
        <v>1921</v>
      </c>
      <c r="G1849" t="s">
        <v>1921</v>
      </c>
      <c r="H1849">
        <v>0.43922901908955</v>
      </c>
      <c r="I1849">
        <v>3356.539078</v>
      </c>
      <c r="J1849">
        <v>35.62864565296309</v>
      </c>
      <c r="K1849">
        <v>0.3378684762227308</v>
      </c>
      <c r="L1849">
        <v>1.000898185390335</v>
      </c>
      <c r="M1849">
        <v>63.89</v>
      </c>
      <c r="N1849">
        <v>34.7</v>
      </c>
    </row>
    <row r="1850" spans="1:14">
      <c r="A1850" s="1" t="s">
        <v>1862</v>
      </c>
      <c r="B1850">
        <f>HYPERLINK("https://www.suredividend.com/sure-analysis-research-database/","Winmark Corporation")</f>
        <v>0</v>
      </c>
      <c r="C1850" t="s">
        <v>1927</v>
      </c>
      <c r="D1850">
        <v>245.82</v>
      </c>
      <c r="E1850">
        <v>0.010332198264316</v>
      </c>
      <c r="F1850">
        <v>0.5555555555555556</v>
      </c>
      <c r="G1850">
        <v>0.3608221078587388</v>
      </c>
      <c r="H1850">
        <v>2.539860977334267</v>
      </c>
      <c r="I1850">
        <v>845.076555</v>
      </c>
      <c r="J1850">
        <v>20.69374210635864</v>
      </c>
      <c r="K1850">
        <v>0.226571006006625</v>
      </c>
      <c r="L1850">
        <v>0.702357551954782</v>
      </c>
      <c r="M1850">
        <v>254.55</v>
      </c>
      <c r="N1850">
        <v>182.86</v>
      </c>
    </row>
    <row r="1851" spans="1:14">
      <c r="A1851" s="1" t="s">
        <v>1863</v>
      </c>
      <c r="B1851">
        <f>HYPERLINK("https://www.suredividend.com/sure-analysis-research-database/","Wingstop Inc")</f>
        <v>0</v>
      </c>
      <c r="C1851" t="s">
        <v>1927</v>
      </c>
      <c r="D1851">
        <v>143.85</v>
      </c>
      <c r="E1851">
        <v>0.00494888225793</v>
      </c>
      <c r="F1851">
        <v>-0.9525</v>
      </c>
      <c r="G1851">
        <v>0.1611871423331621</v>
      </c>
      <c r="H1851">
        <v>0.7118967128033701</v>
      </c>
      <c r="I1851">
        <v>4303.181837</v>
      </c>
      <c r="J1851">
        <v>101.8576901744502</v>
      </c>
      <c r="K1851">
        <v>0.5048912856761489</v>
      </c>
      <c r="L1851">
        <v>1.594604409874333</v>
      </c>
      <c r="M1851">
        <v>170.87</v>
      </c>
      <c r="N1851">
        <v>67.41</v>
      </c>
    </row>
    <row r="1852" spans="1:14">
      <c r="A1852" s="1" t="s">
        <v>1864</v>
      </c>
      <c r="B1852">
        <f>HYPERLINK("https://www.suredividend.com/sure-analysis-research-database/","Encore Wire Corp.")</f>
        <v>0</v>
      </c>
      <c r="C1852" t="s">
        <v>1924</v>
      </c>
      <c r="D1852">
        <v>137.68</v>
      </c>
      <c r="E1852">
        <v>0.0005809185261860001</v>
      </c>
      <c r="F1852">
        <v>0</v>
      </c>
      <c r="G1852">
        <v>0</v>
      </c>
      <c r="H1852">
        <v>0.079980862685395</v>
      </c>
      <c r="I1852">
        <v>2525.406414</v>
      </c>
      <c r="J1852">
        <v>3.5796792193728</v>
      </c>
      <c r="K1852">
        <v>0.002258708350335922</v>
      </c>
      <c r="L1852">
        <v>1.199132994473661</v>
      </c>
      <c r="M1852">
        <v>155.33</v>
      </c>
      <c r="N1852">
        <v>94.36</v>
      </c>
    </row>
    <row r="1853" spans="1:14">
      <c r="A1853" s="1" t="s">
        <v>1865</v>
      </c>
      <c r="B1853">
        <f>HYPERLINK("https://www.suredividend.com/sure-analysis-research-database/","Workiva Inc")</f>
        <v>0</v>
      </c>
      <c r="C1853" t="s">
        <v>1920</v>
      </c>
      <c r="D1853">
        <v>86.91</v>
      </c>
      <c r="E1853">
        <v>0</v>
      </c>
      <c r="F1853" t="s">
        <v>1921</v>
      </c>
      <c r="G1853" t="s">
        <v>1921</v>
      </c>
      <c r="H1853">
        <v>0</v>
      </c>
      <c r="I1853">
        <v>4228.785345</v>
      </c>
      <c r="J1853" t="s">
        <v>1921</v>
      </c>
      <c r="K1853">
        <v>-0</v>
      </c>
      <c r="L1853">
        <v>1.59342981808085</v>
      </c>
      <c r="M1853">
        <v>124.88</v>
      </c>
      <c r="N1853">
        <v>59.43</v>
      </c>
    </row>
    <row r="1854" spans="1:14">
      <c r="A1854" s="1" t="s">
        <v>1866</v>
      </c>
      <c r="B1854">
        <f>HYPERLINK("https://www.suredividend.com/sure-analysis-research-database/","Workhorse Group Inc")</f>
        <v>0</v>
      </c>
      <c r="C1854" t="s">
        <v>1927</v>
      </c>
      <c r="D1854">
        <v>1.69</v>
      </c>
      <c r="E1854">
        <v>0</v>
      </c>
      <c r="F1854" t="s">
        <v>1921</v>
      </c>
      <c r="G1854" t="s">
        <v>1921</v>
      </c>
      <c r="H1854">
        <v>0</v>
      </c>
      <c r="I1854">
        <v>277.331102</v>
      </c>
      <c r="J1854">
        <v>0</v>
      </c>
      <c r="K1854" t="s">
        <v>1921</v>
      </c>
      <c r="L1854">
        <v>2.028609340345712</v>
      </c>
      <c r="M1854">
        <v>5.39</v>
      </c>
      <c r="N1854">
        <v>1.4</v>
      </c>
    </row>
    <row r="1855" spans="1:14">
      <c r="A1855" s="1" t="s">
        <v>1867</v>
      </c>
      <c r="B1855">
        <f>HYPERLINK("https://www.suredividend.com/sure-analysis-research-database/","Willdan Group Inc")</f>
        <v>0</v>
      </c>
      <c r="C1855" t="s">
        <v>1924</v>
      </c>
      <c r="D1855">
        <v>17.86</v>
      </c>
      <c r="E1855">
        <v>0</v>
      </c>
      <c r="F1855" t="s">
        <v>1921</v>
      </c>
      <c r="G1855" t="s">
        <v>1921</v>
      </c>
      <c r="H1855">
        <v>0</v>
      </c>
      <c r="I1855">
        <v>237.447307</v>
      </c>
      <c r="J1855">
        <v>0</v>
      </c>
      <c r="K1855" t="s">
        <v>1921</v>
      </c>
      <c r="L1855">
        <v>1.039345646268327</v>
      </c>
      <c r="M1855">
        <v>34.1</v>
      </c>
      <c r="N1855">
        <v>10.98</v>
      </c>
    </row>
    <row r="1856" spans="1:14">
      <c r="A1856" s="1" t="s">
        <v>1868</v>
      </c>
      <c r="B1856">
        <f>HYPERLINK("https://www.suredividend.com/sure-analysis-research-database/","Willis Lease Finance Corp.")</f>
        <v>0</v>
      </c>
      <c r="C1856" t="s">
        <v>1924</v>
      </c>
      <c r="D1856">
        <v>63.37</v>
      </c>
      <c r="E1856">
        <v>0</v>
      </c>
      <c r="F1856" t="s">
        <v>1921</v>
      </c>
      <c r="G1856" t="s">
        <v>1921</v>
      </c>
      <c r="H1856">
        <v>0</v>
      </c>
      <c r="I1856">
        <v>386.368411</v>
      </c>
      <c r="J1856">
        <v>0</v>
      </c>
      <c r="K1856" t="s">
        <v>1921</v>
      </c>
      <c r="L1856">
        <v>0.4865729358374221</v>
      </c>
      <c r="M1856">
        <v>65.19</v>
      </c>
      <c r="N1856">
        <v>30.22</v>
      </c>
    </row>
    <row r="1857" spans="1:14">
      <c r="A1857" s="1" t="s">
        <v>1869</v>
      </c>
      <c r="B1857">
        <f>HYPERLINK("https://www.suredividend.com/sure-analysis-research-database/","Whiting Petroleum Corp")</f>
        <v>0</v>
      </c>
      <c r="C1857" t="s">
        <v>1926</v>
      </c>
      <c r="D1857">
        <v>68.03</v>
      </c>
      <c r="E1857">
        <v>0.007337216789287001</v>
      </c>
      <c r="F1857" t="s">
        <v>1921</v>
      </c>
      <c r="G1857" t="s">
        <v>1921</v>
      </c>
      <c r="H1857">
        <v>0.499150858175248</v>
      </c>
      <c r="I1857">
        <v>2669.620947</v>
      </c>
      <c r="J1857" t="s">
        <v>1921</v>
      </c>
      <c r="K1857" t="s">
        <v>1921</v>
      </c>
      <c r="L1857">
        <v>1.019783848772831</v>
      </c>
      <c r="M1857">
        <v>101.74</v>
      </c>
      <c r="N1857">
        <v>38.14</v>
      </c>
    </row>
    <row r="1858" spans="1:14">
      <c r="A1858" s="1" t="s">
        <v>1870</v>
      </c>
      <c r="B1858">
        <f>HYPERLINK("https://www.suredividend.com/sure-analysis-research-database/","Chord Energy Corp")</f>
        <v>0</v>
      </c>
      <c r="C1858" t="s">
        <v>1921</v>
      </c>
      <c r="D1858">
        <v>11.76</v>
      </c>
      <c r="E1858">
        <v>0</v>
      </c>
      <c r="F1858" t="s">
        <v>1921</v>
      </c>
      <c r="G1858" t="s">
        <v>1921</v>
      </c>
      <c r="H1858">
        <v>0</v>
      </c>
      <c r="I1858">
        <v>1326.000748</v>
      </c>
      <c r="J1858">
        <v>0</v>
      </c>
      <c r="K1858" t="s">
        <v>1921</v>
      </c>
      <c r="M1858">
        <v>6.88</v>
      </c>
      <c r="N1858">
        <v>0.3</v>
      </c>
    </row>
    <row r="1859" spans="1:14">
      <c r="A1859" s="1" t="s">
        <v>1871</v>
      </c>
      <c r="B1859">
        <f>HYPERLINK("https://www.suredividend.com/sure-analysis-research-database/","Chord Energy Corp")</f>
        <v>0</v>
      </c>
      <c r="C1859" t="s">
        <v>1921</v>
      </c>
      <c r="D1859">
        <v>9.300000000000001</v>
      </c>
      <c r="E1859">
        <v>0</v>
      </c>
      <c r="F1859" t="s">
        <v>1921</v>
      </c>
      <c r="G1859" t="s">
        <v>1921</v>
      </c>
      <c r="H1859">
        <v>0</v>
      </c>
      <c r="I1859">
        <v>1326.000748</v>
      </c>
      <c r="J1859">
        <v>0</v>
      </c>
      <c r="K1859" t="s">
        <v>1921</v>
      </c>
      <c r="M1859">
        <v>9</v>
      </c>
      <c r="N1859">
        <v>1.4</v>
      </c>
    </row>
    <row r="1860" spans="1:14">
      <c r="A1860" s="1" t="s">
        <v>1872</v>
      </c>
      <c r="B1860">
        <f>HYPERLINK("https://www.suredividend.com/sure-analysis-WLY/","John Wiley &amp; Sons Inc.")</f>
        <v>0</v>
      </c>
      <c r="C1860" t="s">
        <v>1921</v>
      </c>
      <c r="D1860">
        <v>42.6</v>
      </c>
      <c r="E1860">
        <v>0.03262910798122065</v>
      </c>
      <c r="F1860" t="s">
        <v>1921</v>
      </c>
      <c r="G1860" t="s">
        <v>1921</v>
      </c>
      <c r="H1860">
        <v>1.372201908210278</v>
      </c>
      <c r="I1860">
        <v>2364.481607</v>
      </c>
      <c r="J1860">
        <v>23.91505620167898</v>
      </c>
      <c r="K1860">
        <v>0.7796601751194762</v>
      </c>
      <c r="L1860">
        <v>0.81171868897634</v>
      </c>
      <c r="M1860">
        <v>57.11</v>
      </c>
      <c r="N1860">
        <v>36.25</v>
      </c>
    </row>
    <row r="1861" spans="1:14">
      <c r="A1861" s="1" t="s">
        <v>1873</v>
      </c>
      <c r="B1861">
        <f>HYPERLINK("https://www.suredividend.com/sure-analysis-research-database/","Weis Markets, Inc.")</f>
        <v>0</v>
      </c>
      <c r="C1861" t="s">
        <v>1928</v>
      </c>
      <c r="D1861">
        <v>83.73</v>
      </c>
      <c r="E1861">
        <v>0.015434034963295</v>
      </c>
      <c r="F1861">
        <v>0.0625</v>
      </c>
      <c r="G1861">
        <v>0.02534857565773274</v>
      </c>
      <c r="H1861">
        <v>1.292291747476722</v>
      </c>
      <c r="I1861">
        <v>2252.206632</v>
      </c>
      <c r="J1861">
        <v>18.93756417656061</v>
      </c>
      <c r="K1861">
        <v>0.2923736985241452</v>
      </c>
      <c r="L1861">
        <v>0.452541267843131</v>
      </c>
      <c r="M1861">
        <v>95.19</v>
      </c>
      <c r="N1861">
        <v>57.39</v>
      </c>
    </row>
    <row r="1862" spans="1:14">
      <c r="A1862" s="1" t="s">
        <v>1874</v>
      </c>
      <c r="B1862">
        <f>HYPERLINK("https://www.suredividend.com/sure-analysis-research-database/","Wabash National Corp.")</f>
        <v>0</v>
      </c>
      <c r="C1862" t="s">
        <v>1924</v>
      </c>
      <c r="D1862">
        <v>24.03</v>
      </c>
      <c r="E1862">
        <v>0.013230975362377</v>
      </c>
      <c r="F1862">
        <v>0</v>
      </c>
      <c r="G1862">
        <v>0.01299136822423641</v>
      </c>
      <c r="H1862">
        <v>0.317940337957922</v>
      </c>
      <c r="I1862">
        <v>1152.097372</v>
      </c>
      <c r="J1862">
        <v>25.12424484931089</v>
      </c>
      <c r="K1862">
        <v>0.3457752451962175</v>
      </c>
      <c r="L1862">
        <v>1.070177426871422</v>
      </c>
      <c r="M1862">
        <v>26.11</v>
      </c>
      <c r="N1862">
        <v>12.06</v>
      </c>
    </row>
    <row r="1863" spans="1:14">
      <c r="A1863" s="1" t="s">
        <v>1875</v>
      </c>
      <c r="B1863">
        <f>HYPERLINK("https://www.suredividend.com/sure-analysis-WOR/","Worthington Industries, Inc.")</f>
        <v>0</v>
      </c>
      <c r="C1863" t="s">
        <v>1925</v>
      </c>
      <c r="D1863">
        <v>51.26</v>
      </c>
      <c r="E1863">
        <v>0.02419040187280531</v>
      </c>
      <c r="F1863">
        <v>0.107142857142857</v>
      </c>
      <c r="G1863">
        <v>0.08100693430783124</v>
      </c>
      <c r="H1863">
        <v>1.169702268842716</v>
      </c>
      <c r="I1863">
        <v>2548.203032</v>
      </c>
      <c r="J1863">
        <v>8.194184882161704</v>
      </c>
      <c r="K1863">
        <v>0.1892722117868473</v>
      </c>
      <c r="L1863">
        <v>1.238837189855513</v>
      </c>
      <c r="M1863">
        <v>61.67</v>
      </c>
      <c r="N1863">
        <v>37.79</v>
      </c>
    </row>
    <row r="1864" spans="1:14">
      <c r="A1864" s="1" t="s">
        <v>1876</v>
      </c>
      <c r="B1864">
        <f>HYPERLINK("https://www.suredividend.com/sure-analysis-research-database/","WideOpenWest Inc")</f>
        <v>0</v>
      </c>
      <c r="C1864" t="s">
        <v>1931</v>
      </c>
      <c r="D1864">
        <v>10.41</v>
      </c>
      <c r="E1864">
        <v>0</v>
      </c>
      <c r="F1864" t="s">
        <v>1921</v>
      </c>
      <c r="G1864" t="s">
        <v>1921</v>
      </c>
      <c r="H1864">
        <v>0</v>
      </c>
      <c r="I1864">
        <v>912.542266</v>
      </c>
      <c r="J1864">
        <v>3.789627348837209</v>
      </c>
      <c r="K1864">
        <v>0</v>
      </c>
      <c r="L1864">
        <v>1.043790158975138</v>
      </c>
      <c r="M1864">
        <v>22.94</v>
      </c>
      <c r="N1864">
        <v>8.57</v>
      </c>
    </row>
    <row r="1865" spans="1:14">
      <c r="A1865" s="1" t="s">
        <v>1877</v>
      </c>
      <c r="B1865">
        <f>HYPERLINK("https://www.suredividend.com/sure-analysis-research-database/","Elme Communities")</f>
        <v>0</v>
      </c>
      <c r="C1865" t="s">
        <v>1929</v>
      </c>
      <c r="D1865">
        <v>17.57</v>
      </c>
      <c r="E1865">
        <v>0.038391514647045</v>
      </c>
      <c r="F1865" t="s">
        <v>1921</v>
      </c>
      <c r="G1865" t="s">
        <v>1921</v>
      </c>
      <c r="H1865">
        <v>0.6745389123485871</v>
      </c>
      <c r="I1865">
        <v>1535.659904</v>
      </c>
      <c r="J1865">
        <v>199.8256219193234</v>
      </c>
      <c r="K1865">
        <v>7.545177990476365</v>
      </c>
      <c r="L1865">
        <v>0.5754226912795031</v>
      </c>
      <c r="M1865">
        <v>26.38</v>
      </c>
      <c r="N1865">
        <v>16.14</v>
      </c>
    </row>
    <row r="1866" spans="1:14">
      <c r="A1866" s="1" t="s">
        <v>1878</v>
      </c>
      <c r="B1866">
        <f>HYPERLINK("https://www.suredividend.com/sure-analysis-research-database/","World Acceptance Corp.")</f>
        <v>0</v>
      </c>
      <c r="C1866" t="s">
        <v>1923</v>
      </c>
      <c r="D1866">
        <v>70.73</v>
      </c>
      <c r="E1866">
        <v>0</v>
      </c>
      <c r="F1866" t="s">
        <v>1921</v>
      </c>
      <c r="G1866" t="s">
        <v>1921</v>
      </c>
      <c r="H1866">
        <v>0</v>
      </c>
      <c r="I1866">
        <v>442.552871</v>
      </c>
      <c r="J1866">
        <v>28.47819577852338</v>
      </c>
      <c r="K1866">
        <v>0</v>
      </c>
      <c r="L1866">
        <v>1.55974651252373</v>
      </c>
      <c r="M1866">
        <v>228.7</v>
      </c>
      <c r="N1866">
        <v>58.44</v>
      </c>
    </row>
    <row r="1867" spans="1:14">
      <c r="A1867" s="1" t="s">
        <v>1879</v>
      </c>
      <c r="B1867">
        <f>HYPERLINK("https://www.suredividend.com/sure-analysis-WSBC/","Wesbanco, Inc.")</f>
        <v>0</v>
      </c>
      <c r="C1867" t="s">
        <v>1923</v>
      </c>
      <c r="D1867">
        <v>37.19</v>
      </c>
      <c r="E1867">
        <v>0.03764452809895133</v>
      </c>
      <c r="F1867">
        <v>0.06060606060606055</v>
      </c>
      <c r="G1867">
        <v>0.0383266700886169</v>
      </c>
      <c r="H1867">
        <v>1.350837136187868</v>
      </c>
      <c r="I1867">
        <v>2200.003161</v>
      </c>
      <c r="J1867">
        <v>11.96115436217236</v>
      </c>
      <c r="K1867">
        <v>0.4487831017235442</v>
      </c>
      <c r="L1867">
        <v>0.5930334513403851</v>
      </c>
      <c r="M1867">
        <v>41</v>
      </c>
      <c r="N1867">
        <v>28.95</v>
      </c>
    </row>
    <row r="1868" spans="1:14">
      <c r="A1868" s="1" t="s">
        <v>1880</v>
      </c>
      <c r="B1868">
        <f>HYPERLINK("https://www.suredividend.com/sure-analysis-research-database/","Waterstone Financial Inc")</f>
        <v>0</v>
      </c>
      <c r="C1868" t="s">
        <v>1923</v>
      </c>
      <c r="D1868">
        <v>17.26</v>
      </c>
      <c r="E1868">
        <v>0.057127304976967</v>
      </c>
      <c r="F1868">
        <v>0</v>
      </c>
      <c r="G1868">
        <v>0.1075663432482901</v>
      </c>
      <c r="H1868">
        <v>0.9860172839024641</v>
      </c>
      <c r="I1868">
        <v>383.004077</v>
      </c>
      <c r="J1868">
        <v>12.31365989776235</v>
      </c>
      <c r="K1868">
        <v>0.7197206451842804</v>
      </c>
      <c r="L1868">
        <v>0.3936788959104101</v>
      </c>
      <c r="M1868">
        <v>20.58</v>
      </c>
      <c r="N1868">
        <v>15.15</v>
      </c>
    </row>
    <row r="1869" spans="1:14">
      <c r="A1869" s="1" t="s">
        <v>1881</v>
      </c>
      <c r="B1869">
        <f>HYPERLINK("https://www.suredividend.com/sure-analysis-research-database/","WillScot Mobile Mini Holdings Corp")</f>
        <v>0</v>
      </c>
      <c r="C1869" t="s">
        <v>1924</v>
      </c>
      <c r="D1869">
        <v>45.12</v>
      </c>
      <c r="E1869">
        <v>0</v>
      </c>
      <c r="F1869" t="s">
        <v>1921</v>
      </c>
      <c r="G1869" t="s">
        <v>1921</v>
      </c>
      <c r="H1869">
        <v>0</v>
      </c>
      <c r="I1869">
        <v>9425.108271999999</v>
      </c>
      <c r="J1869">
        <v>28.79100042558261</v>
      </c>
      <c r="K1869">
        <v>0</v>
      </c>
      <c r="L1869">
        <v>1.102767098824652</v>
      </c>
      <c r="M1869">
        <v>49.02</v>
      </c>
      <c r="N1869">
        <v>30.52</v>
      </c>
    </row>
    <row r="1870" spans="1:14">
      <c r="A1870" s="1" t="s">
        <v>1882</v>
      </c>
      <c r="B1870">
        <f>HYPERLINK("https://www.suredividend.com/sure-analysis-research-database/","WSFS Financial Corp.")</f>
        <v>0</v>
      </c>
      <c r="C1870" t="s">
        <v>1923</v>
      </c>
      <c r="D1870">
        <v>45.65</v>
      </c>
      <c r="E1870">
        <v>0.012211367099912</v>
      </c>
      <c r="F1870">
        <v>0.1538461538461537</v>
      </c>
      <c r="G1870">
        <v>0.1075663432482901</v>
      </c>
      <c r="H1870">
        <v>0.557448908111016</v>
      </c>
      <c r="I1870">
        <v>2811.437329</v>
      </c>
      <c r="J1870">
        <v>14.47605118452421</v>
      </c>
      <c r="K1870">
        <v>0.1725848012727604</v>
      </c>
      <c r="L1870">
        <v>0.797394568392894</v>
      </c>
      <c r="M1870">
        <v>55.63</v>
      </c>
      <c r="N1870">
        <v>36.79</v>
      </c>
    </row>
    <row r="1871" spans="1:14">
      <c r="A1871" s="1" t="s">
        <v>1883</v>
      </c>
      <c r="B1871">
        <f>HYPERLINK("https://www.suredividend.com/sure-analysis-WSR/","Whitestone REIT")</f>
        <v>0</v>
      </c>
      <c r="C1871" t="s">
        <v>1929</v>
      </c>
      <c r="D1871">
        <v>9.880000000000001</v>
      </c>
      <c r="E1871">
        <v>0.048582995951417</v>
      </c>
      <c r="F1871">
        <v>0</v>
      </c>
      <c r="G1871">
        <v>0.02224586935576811</v>
      </c>
      <c r="H1871">
        <v>0.501607022937272</v>
      </c>
      <c r="I1871">
        <v>487.934332</v>
      </c>
      <c r="J1871">
        <v>0</v>
      </c>
      <c r="K1871" t="s">
        <v>1921</v>
      </c>
      <c r="L1871">
        <v>0.6992304433552301</v>
      </c>
      <c r="M1871">
        <v>13.19</v>
      </c>
      <c r="N1871">
        <v>8.050000000000001</v>
      </c>
    </row>
    <row r="1872" spans="1:14">
      <c r="A1872" s="1" t="s">
        <v>1884</v>
      </c>
      <c r="B1872">
        <f>HYPERLINK("https://www.suredividend.com/sure-analysis-research-database/","West Bancorporation")</f>
        <v>0</v>
      </c>
      <c r="C1872" t="s">
        <v>1923</v>
      </c>
      <c r="D1872">
        <v>24.12</v>
      </c>
      <c r="E1872">
        <v>0.040802577753095</v>
      </c>
      <c r="F1872">
        <v>0.04166666666666674</v>
      </c>
      <c r="G1872">
        <v>0.06790716584560208</v>
      </c>
      <c r="H1872">
        <v>0.9841581754046721</v>
      </c>
      <c r="I1872">
        <v>401.366762</v>
      </c>
      <c r="J1872">
        <v>8.130923192674675</v>
      </c>
      <c r="K1872">
        <v>0.3358901622541543</v>
      </c>
      <c r="L1872">
        <v>0.6510325105181071</v>
      </c>
      <c r="M1872">
        <v>31.33</v>
      </c>
      <c r="N1872">
        <v>20.16</v>
      </c>
    </row>
    <row r="1873" spans="1:14">
      <c r="A1873" s="1" t="s">
        <v>1885</v>
      </c>
      <c r="B1873">
        <f>HYPERLINK("https://www.suredividend.com/sure-analysis-research-database/","W &amp; T Offshore Inc")</f>
        <v>0</v>
      </c>
      <c r="C1873" t="s">
        <v>1926</v>
      </c>
      <c r="D1873">
        <v>5.45</v>
      </c>
      <c r="E1873">
        <v>0</v>
      </c>
      <c r="F1873" t="s">
        <v>1921</v>
      </c>
      <c r="G1873" t="s">
        <v>1921</v>
      </c>
      <c r="H1873">
        <v>0</v>
      </c>
      <c r="I1873">
        <v>780.230764</v>
      </c>
      <c r="J1873">
        <v>3.297622878734087</v>
      </c>
      <c r="K1873">
        <v>0</v>
      </c>
      <c r="L1873">
        <v>0.9822508399199211</v>
      </c>
      <c r="M1873">
        <v>9.16</v>
      </c>
      <c r="N1873">
        <v>3.57</v>
      </c>
    </row>
    <row r="1874" spans="1:14">
      <c r="A1874" s="1" t="s">
        <v>1886</v>
      </c>
      <c r="B1874">
        <f>HYPERLINK("https://www.suredividend.com/sure-analysis-research-database/","Watts Water Technologies, Inc.")</f>
        <v>0</v>
      </c>
      <c r="C1874" t="s">
        <v>1924</v>
      </c>
      <c r="D1874">
        <v>149.78</v>
      </c>
      <c r="E1874">
        <v>0.007725588023306001</v>
      </c>
      <c r="F1874">
        <v>0.153846153846154</v>
      </c>
      <c r="G1874">
        <v>0.09565425774785385</v>
      </c>
      <c r="H1874">
        <v>1.157138574130882</v>
      </c>
      <c r="I1874">
        <v>4086.735467</v>
      </c>
      <c r="J1874">
        <v>18.32616801515695</v>
      </c>
      <c r="K1874">
        <v>0.1747943465454505</v>
      </c>
      <c r="L1874">
        <v>1.090589133356989</v>
      </c>
      <c r="M1874">
        <v>190.07</v>
      </c>
      <c r="N1874">
        <v>115.84</v>
      </c>
    </row>
    <row r="1875" spans="1:14">
      <c r="A1875" s="1" t="s">
        <v>1887</v>
      </c>
      <c r="B1875">
        <f>HYPERLINK("https://www.suredividend.com/sure-analysis-research-database/","Select Energy Services Inc")</f>
        <v>0</v>
      </c>
      <c r="C1875" t="s">
        <v>1926</v>
      </c>
      <c r="D1875">
        <v>8.59</v>
      </c>
      <c r="E1875">
        <v>0.005820721856234</v>
      </c>
      <c r="F1875" t="s">
        <v>1921</v>
      </c>
      <c r="G1875" t="s">
        <v>1921</v>
      </c>
      <c r="H1875">
        <v>0.050000000745058</v>
      </c>
      <c r="I1875">
        <v>842.69947</v>
      </c>
      <c r="J1875">
        <v>16.81296576293843</v>
      </c>
      <c r="K1875">
        <v>0.0933881224225962</v>
      </c>
      <c r="L1875">
        <v>0.743020907704927</v>
      </c>
      <c r="M1875">
        <v>10.37</v>
      </c>
      <c r="N1875">
        <v>5.99</v>
      </c>
    </row>
    <row r="1876" spans="1:14">
      <c r="A1876" s="1" t="s">
        <v>1888</v>
      </c>
      <c r="B1876">
        <f>HYPERLINK("https://www.suredividend.com/sure-analysis-research-database/","Wave Life Sciences Ltd.")</f>
        <v>0</v>
      </c>
      <c r="C1876" t="s">
        <v>1922</v>
      </c>
      <c r="D1876">
        <v>5.47</v>
      </c>
      <c r="E1876">
        <v>0</v>
      </c>
      <c r="F1876" t="s">
        <v>1921</v>
      </c>
      <c r="G1876" t="s">
        <v>1921</v>
      </c>
      <c r="H1876">
        <v>0</v>
      </c>
      <c r="I1876">
        <v>475.346763</v>
      </c>
      <c r="J1876" t="s">
        <v>1921</v>
      </c>
      <c r="K1876">
        <v>-0</v>
      </c>
      <c r="L1876">
        <v>1.385887508781249</v>
      </c>
      <c r="M1876">
        <v>7.12</v>
      </c>
      <c r="N1876">
        <v>1.16</v>
      </c>
    </row>
    <row r="1877" spans="1:14">
      <c r="A1877" s="1" t="s">
        <v>1889</v>
      </c>
      <c r="B1877">
        <f>HYPERLINK("https://www.suredividend.com/sure-analysis-research-database/","WW International Inc")</f>
        <v>0</v>
      </c>
      <c r="C1877" t="s">
        <v>1927</v>
      </c>
      <c r="D1877">
        <v>4.64</v>
      </c>
      <c r="E1877">
        <v>0</v>
      </c>
      <c r="F1877" t="s">
        <v>1921</v>
      </c>
      <c r="G1877" t="s">
        <v>1921</v>
      </c>
      <c r="H1877">
        <v>0</v>
      </c>
      <c r="I1877">
        <v>327.243967</v>
      </c>
      <c r="J1877" t="s">
        <v>1921</v>
      </c>
      <c r="K1877">
        <v>-0</v>
      </c>
      <c r="L1877">
        <v>1.903216517451733</v>
      </c>
      <c r="M1877">
        <v>15.48</v>
      </c>
      <c r="N1877">
        <v>3.28</v>
      </c>
    </row>
    <row r="1878" spans="1:14">
      <c r="A1878" s="1" t="s">
        <v>1890</v>
      </c>
      <c r="B1878">
        <f>HYPERLINK("https://www.suredividend.com/sure-analysis-research-database/","Wolverine World Wide, Inc.")</f>
        <v>0</v>
      </c>
      <c r="C1878" t="s">
        <v>1927</v>
      </c>
      <c r="D1878">
        <v>11.24</v>
      </c>
      <c r="E1878">
        <v>0.03517364262738</v>
      </c>
      <c r="F1878">
        <v>0</v>
      </c>
      <c r="G1878">
        <v>0.04563955259127317</v>
      </c>
      <c r="H1878">
        <v>0.39535174313176</v>
      </c>
      <c r="I1878">
        <v>885.207043</v>
      </c>
      <c r="J1878">
        <v>5.685337463070007</v>
      </c>
      <c r="K1878">
        <v>0.2059123662144584</v>
      </c>
      <c r="L1878">
        <v>1.363031800275466</v>
      </c>
      <c r="M1878">
        <v>26.75</v>
      </c>
      <c r="N1878">
        <v>9.5</v>
      </c>
    </row>
    <row r="1879" spans="1:14">
      <c r="A1879" s="1" t="s">
        <v>1891</v>
      </c>
      <c r="B1879">
        <f>HYPERLINK("https://www.suredividend.com/sure-analysis-research-database/","XBiotech Inc")</f>
        <v>0</v>
      </c>
      <c r="C1879" t="s">
        <v>1922</v>
      </c>
      <c r="D1879">
        <v>3.73</v>
      </c>
      <c r="E1879">
        <v>0</v>
      </c>
      <c r="F1879" t="s">
        <v>1921</v>
      </c>
      <c r="G1879" t="s">
        <v>1921</v>
      </c>
      <c r="H1879">
        <v>0</v>
      </c>
      <c r="I1879">
        <v>113.538503</v>
      </c>
      <c r="J1879">
        <v>0</v>
      </c>
      <c r="K1879" t="s">
        <v>1921</v>
      </c>
      <c r="L1879">
        <v>0.979158266333603</v>
      </c>
      <c r="M1879">
        <v>11.9</v>
      </c>
      <c r="N1879">
        <v>3</v>
      </c>
    </row>
    <row r="1880" spans="1:14">
      <c r="A1880" s="1" t="s">
        <v>1892</v>
      </c>
      <c r="B1880">
        <f>HYPERLINK("https://www.suredividend.com/sure-analysis-research-database/","Intersect ENT Inc")</f>
        <v>0</v>
      </c>
      <c r="C1880" t="s">
        <v>1922</v>
      </c>
      <c r="D1880">
        <v>28.24</v>
      </c>
      <c r="E1880">
        <v>0</v>
      </c>
      <c r="F1880" t="s">
        <v>1921</v>
      </c>
      <c r="G1880" t="s">
        <v>1921</v>
      </c>
      <c r="H1880">
        <v>0</v>
      </c>
      <c r="I1880">
        <v>0</v>
      </c>
      <c r="J1880">
        <v>0</v>
      </c>
      <c r="K1880" t="s">
        <v>1921</v>
      </c>
    </row>
    <row r="1881" spans="1:14">
      <c r="A1881" s="1" t="s">
        <v>1893</v>
      </c>
      <c r="B1881">
        <f>HYPERLINK("https://www.suredividend.com/sure-analysis-research-database/","Exagen Inc")</f>
        <v>0</v>
      </c>
      <c r="C1881" t="s">
        <v>1922</v>
      </c>
      <c r="D1881">
        <v>2.76</v>
      </c>
      <c r="E1881">
        <v>0</v>
      </c>
      <c r="F1881" t="s">
        <v>1921</v>
      </c>
      <c r="G1881" t="s">
        <v>1921</v>
      </c>
      <c r="H1881">
        <v>0</v>
      </c>
      <c r="I1881">
        <v>44.878828</v>
      </c>
      <c r="J1881">
        <v>0</v>
      </c>
      <c r="K1881" t="s">
        <v>1921</v>
      </c>
      <c r="L1881">
        <v>1.036180108504339</v>
      </c>
      <c r="M1881">
        <v>10.67</v>
      </c>
      <c r="N1881">
        <v>2.1</v>
      </c>
    </row>
    <row r="1882" spans="1:14">
      <c r="A1882" s="1" t="s">
        <v>1894</v>
      </c>
      <c r="B1882">
        <f>HYPERLINK("https://www.suredividend.com/sure-analysis-research-database/","Xenia Hotels &amp; Resorts Inc")</f>
        <v>0</v>
      </c>
      <c r="C1882" t="s">
        <v>1929</v>
      </c>
      <c r="D1882">
        <v>12.67</v>
      </c>
      <c r="E1882">
        <v>0.015723644058409</v>
      </c>
      <c r="F1882" t="s">
        <v>1921</v>
      </c>
      <c r="G1882" t="s">
        <v>1921</v>
      </c>
      <c r="H1882">
        <v>0.19921857022005</v>
      </c>
      <c r="I1882">
        <v>1442.45136</v>
      </c>
      <c r="J1882" t="s">
        <v>1921</v>
      </c>
      <c r="K1882" t="s">
        <v>1921</v>
      </c>
      <c r="L1882">
        <v>1.295283198327313</v>
      </c>
      <c r="M1882">
        <v>20.06</v>
      </c>
      <c r="N1882">
        <v>12.48</v>
      </c>
    </row>
    <row r="1883" spans="1:14">
      <c r="A1883" s="1" t="s">
        <v>1895</v>
      </c>
      <c r="B1883">
        <f>HYPERLINK("https://www.suredividend.com/sure-analysis-research-database/","XL Fleet Corporation")</f>
        <v>0</v>
      </c>
      <c r="C1883" t="s">
        <v>1921</v>
      </c>
      <c r="D1883">
        <v>1.26</v>
      </c>
      <c r="E1883">
        <v>0</v>
      </c>
      <c r="F1883" t="s">
        <v>1921</v>
      </c>
      <c r="G1883" t="s">
        <v>1921</v>
      </c>
      <c r="H1883">
        <v>0</v>
      </c>
      <c r="I1883">
        <v>181.592034</v>
      </c>
      <c r="J1883">
        <v>0</v>
      </c>
      <c r="K1883" t="s">
        <v>1921</v>
      </c>
    </row>
    <row r="1884" spans="1:14">
      <c r="A1884" s="1" t="s">
        <v>1896</v>
      </c>
      <c r="B1884">
        <f>HYPERLINK("https://www.suredividend.com/sure-analysis-research-database/","Xilio Therapeutics Inc")</f>
        <v>0</v>
      </c>
      <c r="C1884" t="s">
        <v>1921</v>
      </c>
      <c r="D1884">
        <v>2.84</v>
      </c>
      <c r="E1884">
        <v>0</v>
      </c>
      <c r="F1884" t="s">
        <v>1921</v>
      </c>
      <c r="G1884" t="s">
        <v>1921</v>
      </c>
      <c r="H1884">
        <v>0</v>
      </c>
      <c r="I1884">
        <v>78.019364</v>
      </c>
      <c r="J1884">
        <v>0</v>
      </c>
      <c r="K1884" t="s">
        <v>1921</v>
      </c>
      <c r="L1884">
        <v>1.308060026938198</v>
      </c>
      <c r="M1884">
        <v>16.34</v>
      </c>
      <c r="N1884">
        <v>1.95</v>
      </c>
    </row>
    <row r="1885" spans="1:14">
      <c r="A1885" s="1" t="s">
        <v>1897</v>
      </c>
      <c r="B1885">
        <f>HYPERLINK("https://www.suredividend.com/sure-analysis-research-database/","Xometry Inc")</f>
        <v>0</v>
      </c>
      <c r="C1885" t="s">
        <v>1921</v>
      </c>
      <c r="D1885">
        <v>27.89</v>
      </c>
      <c r="E1885">
        <v>0</v>
      </c>
      <c r="F1885" t="s">
        <v>1921</v>
      </c>
      <c r="G1885" t="s">
        <v>1921</v>
      </c>
      <c r="H1885">
        <v>0</v>
      </c>
      <c r="I1885">
        <v>1243.69163</v>
      </c>
      <c r="J1885">
        <v>0</v>
      </c>
      <c r="K1885" t="s">
        <v>1921</v>
      </c>
      <c r="L1885">
        <v>1.17170554060909</v>
      </c>
      <c r="M1885">
        <v>64.34999999999999</v>
      </c>
      <c r="N1885">
        <v>26.61</v>
      </c>
    </row>
    <row r="1886" spans="1:14">
      <c r="A1886" s="1" t="s">
        <v>1898</v>
      </c>
      <c r="B1886">
        <f>HYPERLINK("https://www.suredividend.com/sure-analysis-research-database/","Xencor Inc")</f>
        <v>0</v>
      </c>
      <c r="C1886" t="s">
        <v>1922</v>
      </c>
      <c r="D1886">
        <v>26.88</v>
      </c>
      <c r="E1886">
        <v>0</v>
      </c>
      <c r="F1886" t="s">
        <v>1921</v>
      </c>
      <c r="G1886" t="s">
        <v>1921</v>
      </c>
      <c r="H1886">
        <v>0</v>
      </c>
      <c r="I1886">
        <v>1610.75755</v>
      </c>
      <c r="J1886">
        <v>53.8336803609505</v>
      </c>
      <c r="K1886">
        <v>0</v>
      </c>
      <c r="L1886">
        <v>1.026177635432911</v>
      </c>
      <c r="M1886">
        <v>38.97</v>
      </c>
      <c r="N1886">
        <v>19.36</v>
      </c>
    </row>
    <row r="1887" spans="1:14">
      <c r="A1887" s="1" t="s">
        <v>1899</v>
      </c>
      <c r="B1887">
        <f>HYPERLINK("https://www.suredividend.com/sure-analysis-research-database/","XOMA Corp")</f>
        <v>0</v>
      </c>
      <c r="C1887" t="s">
        <v>1922</v>
      </c>
      <c r="D1887">
        <v>18.01</v>
      </c>
      <c r="E1887">
        <v>0</v>
      </c>
      <c r="F1887" t="s">
        <v>1921</v>
      </c>
      <c r="G1887" t="s">
        <v>1921</v>
      </c>
      <c r="H1887">
        <v>0</v>
      </c>
      <c r="I1887">
        <v>206.229322</v>
      </c>
      <c r="J1887">
        <v>21.0610010447304</v>
      </c>
      <c r="K1887">
        <v>0</v>
      </c>
      <c r="L1887">
        <v>0.7492889765752311</v>
      </c>
      <c r="M1887">
        <v>32.09</v>
      </c>
      <c r="N1887">
        <v>15.68</v>
      </c>
    </row>
    <row r="1888" spans="1:14">
      <c r="A1888" s="1" t="s">
        <v>1900</v>
      </c>
      <c r="B1888">
        <f>HYPERLINK("https://www.suredividend.com/sure-analysis-research-database/","XPEL Inc")</f>
        <v>0</v>
      </c>
      <c r="C1888" t="s">
        <v>1927</v>
      </c>
      <c r="D1888">
        <v>63.13</v>
      </c>
      <c r="E1888">
        <v>0</v>
      </c>
      <c r="F1888" t="s">
        <v>1921</v>
      </c>
      <c r="G1888" t="s">
        <v>1921</v>
      </c>
      <c r="H1888">
        <v>0</v>
      </c>
      <c r="I1888">
        <v>1743.40212</v>
      </c>
      <c r="J1888">
        <v>44.44435687036548</v>
      </c>
      <c r="K1888">
        <v>0</v>
      </c>
      <c r="L1888">
        <v>1.249686948809635</v>
      </c>
      <c r="M1888">
        <v>87.01000000000001</v>
      </c>
      <c r="N1888">
        <v>39.8</v>
      </c>
    </row>
    <row r="1889" spans="1:14">
      <c r="A1889" s="1" t="s">
        <v>1901</v>
      </c>
      <c r="B1889">
        <f>HYPERLINK("https://www.suredividend.com/sure-analysis-research-database/","Xperi Inc")</f>
        <v>0</v>
      </c>
      <c r="C1889" t="s">
        <v>1920</v>
      </c>
      <c r="D1889">
        <v>9.130000000000001</v>
      </c>
      <c r="E1889">
        <v>0</v>
      </c>
      <c r="F1889" t="s">
        <v>1921</v>
      </c>
      <c r="G1889" t="s">
        <v>1921</v>
      </c>
      <c r="H1889">
        <v>0</v>
      </c>
      <c r="I1889">
        <v>0</v>
      </c>
      <c r="J1889">
        <v>0</v>
      </c>
      <c r="K1889" t="s">
        <v>1921</v>
      </c>
      <c r="M1889">
        <v>26</v>
      </c>
      <c r="N1889">
        <v>8.15</v>
      </c>
    </row>
    <row r="1890" spans="1:14">
      <c r="A1890" s="1" t="s">
        <v>1902</v>
      </c>
      <c r="B1890">
        <f>HYPERLINK("https://www.suredividend.com/sure-analysis-research-database/","Xponential Fitness Inc")</f>
        <v>0</v>
      </c>
      <c r="C1890" t="s">
        <v>1921</v>
      </c>
      <c r="D1890">
        <v>26.24</v>
      </c>
      <c r="E1890">
        <v>0</v>
      </c>
      <c r="F1890" t="s">
        <v>1921</v>
      </c>
      <c r="G1890" t="s">
        <v>1921</v>
      </c>
      <c r="H1890">
        <v>0</v>
      </c>
      <c r="I1890">
        <v>723.340027</v>
      </c>
      <c r="J1890">
        <v>0</v>
      </c>
      <c r="K1890" t="s">
        <v>1921</v>
      </c>
      <c r="L1890">
        <v>1.437232313569531</v>
      </c>
      <c r="M1890">
        <v>26.9</v>
      </c>
      <c r="N1890">
        <v>11.2</v>
      </c>
    </row>
    <row r="1891" spans="1:14">
      <c r="A1891" s="1" t="s">
        <v>1903</v>
      </c>
      <c r="B1891">
        <f>HYPERLINK("https://www.suredividend.com/sure-analysis-research-database/","Expro Group Holdings N.V.")</f>
        <v>0</v>
      </c>
      <c r="C1891" t="s">
        <v>1921</v>
      </c>
      <c r="D1891">
        <v>18.6</v>
      </c>
      <c r="E1891">
        <v>0</v>
      </c>
      <c r="F1891" t="s">
        <v>1921</v>
      </c>
      <c r="G1891" t="s">
        <v>1921</v>
      </c>
      <c r="H1891">
        <v>0</v>
      </c>
      <c r="I1891">
        <v>2022.60957</v>
      </c>
      <c r="J1891">
        <v>0</v>
      </c>
      <c r="K1891" t="s">
        <v>1921</v>
      </c>
      <c r="L1891">
        <v>1.070171883518579</v>
      </c>
      <c r="M1891">
        <v>19.68</v>
      </c>
      <c r="N1891">
        <v>8.82</v>
      </c>
    </row>
    <row r="1892" spans="1:14">
      <c r="A1892" s="1" t="s">
        <v>1904</v>
      </c>
      <c r="B1892">
        <f>HYPERLINK("https://www.suredividend.com/sure-analysis-research-database/","22nd Century Group Inc")</f>
        <v>0</v>
      </c>
      <c r="C1892" t="s">
        <v>1922</v>
      </c>
      <c r="D1892">
        <v>0.8882</v>
      </c>
      <c r="E1892">
        <v>0</v>
      </c>
      <c r="F1892" t="s">
        <v>1921</v>
      </c>
      <c r="G1892" t="s">
        <v>1921</v>
      </c>
      <c r="H1892">
        <v>0</v>
      </c>
      <c r="I1892">
        <v>191.230884</v>
      </c>
      <c r="J1892">
        <v>0</v>
      </c>
      <c r="K1892" t="s">
        <v>1921</v>
      </c>
      <c r="L1892">
        <v>1.61637851636845</v>
      </c>
      <c r="M1892">
        <v>2.76</v>
      </c>
      <c r="N1892">
        <v>0.8200000000000001</v>
      </c>
    </row>
    <row r="1893" spans="1:14">
      <c r="A1893" s="1" t="s">
        <v>1905</v>
      </c>
      <c r="B1893">
        <f>HYPERLINK("https://www.suredividend.com/sure-analysis-research-database/","Yellow Corporation")</f>
        <v>0</v>
      </c>
      <c r="C1893" t="s">
        <v>1921</v>
      </c>
      <c r="D1893">
        <v>2.6</v>
      </c>
      <c r="E1893">
        <v>0</v>
      </c>
      <c r="F1893" t="s">
        <v>1921</v>
      </c>
      <c r="G1893" t="s">
        <v>1921</v>
      </c>
      <c r="H1893">
        <v>0</v>
      </c>
      <c r="I1893">
        <v>134.327643</v>
      </c>
      <c r="J1893" t="s">
        <v>1921</v>
      </c>
      <c r="K1893">
        <v>-0</v>
      </c>
      <c r="L1893">
        <v>2.478994778677045</v>
      </c>
      <c r="M1893">
        <v>11.45</v>
      </c>
      <c r="N1893">
        <v>2.34</v>
      </c>
    </row>
    <row r="1894" spans="1:14">
      <c r="A1894" s="1" t="s">
        <v>1906</v>
      </c>
      <c r="B1894">
        <f>HYPERLINK("https://www.suredividend.com/sure-analysis-research-database/","Yelp Inc")</f>
        <v>0</v>
      </c>
      <c r="C1894" t="s">
        <v>1931</v>
      </c>
      <c r="D1894">
        <v>28.24</v>
      </c>
      <c r="E1894">
        <v>0</v>
      </c>
      <c r="F1894" t="s">
        <v>1921</v>
      </c>
      <c r="G1894" t="s">
        <v>1921</v>
      </c>
      <c r="H1894">
        <v>0</v>
      </c>
      <c r="I1894">
        <v>1968.393206</v>
      </c>
      <c r="J1894">
        <v>49.96936449431356</v>
      </c>
      <c r="K1894">
        <v>0</v>
      </c>
      <c r="L1894">
        <v>1.122003774379884</v>
      </c>
      <c r="M1894">
        <v>39.27</v>
      </c>
      <c r="N1894">
        <v>25.3</v>
      </c>
    </row>
    <row r="1895" spans="1:14">
      <c r="A1895" s="1" t="s">
        <v>1907</v>
      </c>
      <c r="B1895">
        <f>HYPERLINK("https://www.suredividend.com/sure-analysis-research-database/","Yext Inc")</f>
        <v>0</v>
      </c>
      <c r="C1895" t="s">
        <v>1920</v>
      </c>
      <c r="D1895">
        <v>6.28</v>
      </c>
      <c r="E1895">
        <v>0</v>
      </c>
      <c r="F1895" t="s">
        <v>1921</v>
      </c>
      <c r="G1895" t="s">
        <v>1921</v>
      </c>
      <c r="H1895">
        <v>0</v>
      </c>
      <c r="I1895">
        <v>766.776991</v>
      </c>
      <c r="J1895" t="s">
        <v>1921</v>
      </c>
      <c r="K1895">
        <v>-0</v>
      </c>
      <c r="L1895">
        <v>1.294242413679292</v>
      </c>
      <c r="M1895">
        <v>9.74</v>
      </c>
      <c r="N1895">
        <v>4</v>
      </c>
    </row>
    <row r="1896" spans="1:14">
      <c r="A1896" s="1" t="s">
        <v>1908</v>
      </c>
      <c r="B1896">
        <f>HYPERLINK("https://www.suredividend.com/sure-analysis-research-database/","Y-Mabs Therapeutics Inc")</f>
        <v>0</v>
      </c>
      <c r="C1896" t="s">
        <v>1922</v>
      </c>
      <c r="D1896">
        <v>4.68</v>
      </c>
      <c r="E1896">
        <v>0</v>
      </c>
      <c r="F1896" t="s">
        <v>1921</v>
      </c>
      <c r="G1896" t="s">
        <v>1921</v>
      </c>
      <c r="H1896">
        <v>0</v>
      </c>
      <c r="I1896">
        <v>204.366848</v>
      </c>
      <c r="J1896">
        <v>0</v>
      </c>
      <c r="K1896" t="s">
        <v>1921</v>
      </c>
      <c r="L1896">
        <v>1.748257786941847</v>
      </c>
      <c r="M1896">
        <v>20.48</v>
      </c>
      <c r="N1896">
        <v>2.94</v>
      </c>
    </row>
    <row r="1897" spans="1:14">
      <c r="A1897" s="1" t="s">
        <v>1909</v>
      </c>
      <c r="B1897">
        <f>HYPERLINK("https://www.suredividend.com/sure-analysis-YORW/","York Water Co.")</f>
        <v>0</v>
      </c>
      <c r="C1897" t="s">
        <v>1930</v>
      </c>
      <c r="D1897">
        <v>44.55</v>
      </c>
      <c r="E1897">
        <v>0.01750841750841751</v>
      </c>
      <c r="F1897">
        <v>0.04002052334530526</v>
      </c>
      <c r="G1897">
        <v>0.04000577367145808</v>
      </c>
      <c r="H1897">
        <v>0.7819623294786461</v>
      </c>
      <c r="I1897">
        <v>636.010101</v>
      </c>
      <c r="J1897">
        <v>34.24933228594507</v>
      </c>
      <c r="K1897">
        <v>0.5749723010872398</v>
      </c>
      <c r="L1897">
        <v>0.427151929707149</v>
      </c>
      <c r="M1897">
        <v>47.27</v>
      </c>
      <c r="N1897">
        <v>36.68</v>
      </c>
    </row>
    <row r="1898" spans="1:14">
      <c r="A1898" s="1" t="s">
        <v>1910</v>
      </c>
      <c r="B1898">
        <f>HYPERLINK("https://www.suredividend.com/sure-analysis-research-database/","Ziff Davis Inc")</f>
        <v>0</v>
      </c>
      <c r="C1898" t="s">
        <v>1921</v>
      </c>
      <c r="D1898">
        <v>82.12</v>
      </c>
      <c r="E1898">
        <v>0</v>
      </c>
      <c r="F1898" t="s">
        <v>1921</v>
      </c>
      <c r="G1898" t="s">
        <v>1921</v>
      </c>
      <c r="H1898">
        <v>0</v>
      </c>
      <c r="I1898">
        <v>3875.371236</v>
      </c>
      <c r="J1898">
        <v>10.86810673472021</v>
      </c>
      <c r="K1898">
        <v>0</v>
      </c>
      <c r="L1898">
        <v>1.109505905021518</v>
      </c>
      <c r="M1898">
        <v>110.94</v>
      </c>
      <c r="N1898">
        <v>66.84999999999999</v>
      </c>
    </row>
    <row r="1899" spans="1:14">
      <c r="A1899" s="1" t="s">
        <v>1911</v>
      </c>
      <c r="B1899">
        <f>HYPERLINK("https://www.suredividend.com/sure-analysis-research-database/","Olympic Steel Inc.")</f>
        <v>0</v>
      </c>
      <c r="C1899" t="s">
        <v>1925</v>
      </c>
      <c r="D1899">
        <v>33.63</v>
      </c>
      <c r="E1899">
        <v>0.010666390417793</v>
      </c>
      <c r="F1899">
        <v>3.5</v>
      </c>
      <c r="G1899">
        <v>0.3509600385206135</v>
      </c>
      <c r="H1899">
        <v>0.358710709750387</v>
      </c>
      <c r="I1899">
        <v>374.299613</v>
      </c>
      <c r="J1899">
        <v>3.346951375354323</v>
      </c>
      <c r="K1899">
        <v>0.03701864909704717</v>
      </c>
      <c r="L1899">
        <v>1.258797258711173</v>
      </c>
      <c r="M1899">
        <v>42.93</v>
      </c>
      <c r="N1899">
        <v>19.74</v>
      </c>
    </row>
    <row r="1900" spans="1:14">
      <c r="A1900" s="1" t="s">
        <v>1912</v>
      </c>
      <c r="B1900">
        <f>HYPERLINK("https://www.suredividend.com/sure-analysis-research-database/","Zogenix Inc")</f>
        <v>0</v>
      </c>
      <c r="C1900" t="s">
        <v>1922</v>
      </c>
      <c r="D1900">
        <v>26.68</v>
      </c>
      <c r="E1900">
        <v>0</v>
      </c>
      <c r="F1900" t="s">
        <v>1921</v>
      </c>
      <c r="G1900" t="s">
        <v>1921</v>
      </c>
      <c r="H1900">
        <v>0</v>
      </c>
      <c r="I1900">
        <v>0</v>
      </c>
      <c r="J1900">
        <v>0</v>
      </c>
      <c r="K1900">
        <v>-0</v>
      </c>
    </row>
    <row r="1901" spans="1:14">
      <c r="A1901" s="1" t="s">
        <v>1913</v>
      </c>
      <c r="B1901">
        <f>HYPERLINK("https://www.suredividend.com/sure-analysis-research-database/","Zentalis Pharmaceuticals Inc")</f>
        <v>0</v>
      </c>
      <c r="C1901" t="s">
        <v>1922</v>
      </c>
      <c r="D1901">
        <v>18.53</v>
      </c>
      <c r="E1901">
        <v>0</v>
      </c>
      <c r="F1901" t="s">
        <v>1921</v>
      </c>
      <c r="G1901" t="s">
        <v>1921</v>
      </c>
      <c r="H1901">
        <v>0</v>
      </c>
      <c r="I1901">
        <v>1057.497668</v>
      </c>
      <c r="J1901">
        <v>0</v>
      </c>
      <c r="K1901" t="s">
        <v>1921</v>
      </c>
      <c r="L1901">
        <v>1.826216170768556</v>
      </c>
      <c r="M1901">
        <v>73.92</v>
      </c>
      <c r="N1901">
        <v>17.33</v>
      </c>
    </row>
    <row r="1902" spans="1:14">
      <c r="A1902" s="1" t="s">
        <v>1914</v>
      </c>
      <c r="B1902">
        <f>HYPERLINK("https://www.suredividend.com/sure-analysis-research-database/","Zumiez Inc")</f>
        <v>0</v>
      </c>
      <c r="C1902" t="s">
        <v>1927</v>
      </c>
      <c r="D1902">
        <v>23.54</v>
      </c>
      <c r="E1902">
        <v>0</v>
      </c>
      <c r="F1902" t="s">
        <v>1921</v>
      </c>
      <c r="G1902" t="s">
        <v>1921</v>
      </c>
      <c r="H1902">
        <v>0</v>
      </c>
      <c r="I1902">
        <v>458.812467</v>
      </c>
      <c r="J1902">
        <v>9.597382480441786</v>
      </c>
      <c r="K1902">
        <v>0</v>
      </c>
      <c r="L1902">
        <v>1.406989716908761</v>
      </c>
      <c r="M1902">
        <v>47.51</v>
      </c>
      <c r="N1902">
        <v>18.86</v>
      </c>
    </row>
    <row r="1903" spans="1:14">
      <c r="A1903" s="1" t="s">
        <v>1915</v>
      </c>
      <c r="B1903">
        <f>HYPERLINK("https://www.suredividend.com/sure-analysis-research-database/","Zuora Inc")</f>
        <v>0</v>
      </c>
      <c r="C1903" t="s">
        <v>1920</v>
      </c>
      <c r="D1903">
        <v>6.52</v>
      </c>
      <c r="E1903">
        <v>0</v>
      </c>
      <c r="F1903" t="s">
        <v>1921</v>
      </c>
      <c r="G1903" t="s">
        <v>1921</v>
      </c>
      <c r="H1903">
        <v>0</v>
      </c>
      <c r="I1903">
        <v>818.26</v>
      </c>
      <c r="J1903">
        <v>0</v>
      </c>
      <c r="K1903" t="s">
        <v>1921</v>
      </c>
      <c r="L1903">
        <v>1.644927752372975</v>
      </c>
      <c r="M1903">
        <v>17.48</v>
      </c>
      <c r="N1903">
        <v>5.45</v>
      </c>
    </row>
    <row r="1904" spans="1:14">
      <c r="A1904" s="1" t="s">
        <v>1916</v>
      </c>
      <c r="B1904">
        <f>HYPERLINK("https://www.suredividend.com/sure-analysis-research-database/","Zevia PBC")</f>
        <v>0</v>
      </c>
      <c r="C1904" t="s">
        <v>1921</v>
      </c>
      <c r="D1904">
        <v>4.33</v>
      </c>
      <c r="E1904">
        <v>0</v>
      </c>
      <c r="F1904" t="s">
        <v>1921</v>
      </c>
      <c r="G1904" t="s">
        <v>1921</v>
      </c>
      <c r="H1904">
        <v>0</v>
      </c>
      <c r="I1904">
        <v>194.268944</v>
      </c>
      <c r="J1904">
        <v>0</v>
      </c>
      <c r="K1904" t="s">
        <v>1921</v>
      </c>
      <c r="L1904">
        <v>1.194009562449557</v>
      </c>
      <c r="M1904">
        <v>10.39</v>
      </c>
      <c r="N1904">
        <v>1.86</v>
      </c>
    </row>
    <row r="1905" spans="1:14">
      <c r="A1905" s="1" t="s">
        <v>1917</v>
      </c>
      <c r="B1905">
        <f>HYPERLINK("https://www.suredividend.com/sure-analysis-research-database/","Zurn Elkay Water Solutions Corp")</f>
        <v>0</v>
      </c>
      <c r="C1905" t="s">
        <v>1921</v>
      </c>
      <c r="D1905">
        <v>22.17</v>
      </c>
      <c r="E1905">
        <v>0.008996728515023001</v>
      </c>
      <c r="F1905" t="s">
        <v>1921</v>
      </c>
      <c r="G1905" t="s">
        <v>1921</v>
      </c>
      <c r="H1905">
        <v>0.199457471178075</v>
      </c>
      <c r="I1905">
        <v>3941.706282</v>
      </c>
      <c r="J1905">
        <v>22.70568134792627</v>
      </c>
      <c r="K1905">
        <v>0.1424696222700536</v>
      </c>
      <c r="L1905">
        <v>1.123734618217545</v>
      </c>
      <c r="M1905">
        <v>36.59</v>
      </c>
      <c r="N1905">
        <v>20.65</v>
      </c>
    </row>
    <row r="1906" spans="1:14">
      <c r="A1906" s="1" t="s">
        <v>1918</v>
      </c>
      <c r="B1906">
        <f>HYPERLINK("https://www.suredividend.com/sure-analysis-research-database/","Zymergen Inc")</f>
        <v>0</v>
      </c>
      <c r="C1906" t="s">
        <v>1921</v>
      </c>
      <c r="D1906">
        <v>2.43</v>
      </c>
      <c r="E1906">
        <v>0</v>
      </c>
      <c r="F1906" t="s">
        <v>1921</v>
      </c>
      <c r="G1906" t="s">
        <v>1921</v>
      </c>
      <c r="H1906">
        <v>0</v>
      </c>
      <c r="I1906">
        <v>0</v>
      </c>
      <c r="J1906">
        <v>0</v>
      </c>
      <c r="K1906" t="s">
        <v>1921</v>
      </c>
    </row>
    <row r="1907" spans="1:14">
      <c r="A1907" s="1" t="s">
        <v>1919</v>
      </c>
      <c r="B1907">
        <f>HYPERLINK("https://www.suredividend.com/sure-analysis-research-database/","Zynex Inc")</f>
        <v>0</v>
      </c>
      <c r="C1907" t="s">
        <v>1922</v>
      </c>
      <c r="D1907">
        <v>15.65</v>
      </c>
      <c r="E1907">
        <v>0</v>
      </c>
      <c r="F1907" t="s">
        <v>1921</v>
      </c>
      <c r="G1907" t="s">
        <v>1921</v>
      </c>
      <c r="H1907">
        <v>0</v>
      </c>
      <c r="I1907">
        <v>586.146414</v>
      </c>
      <c r="J1907">
        <v>31.7007254867496</v>
      </c>
      <c r="K1907">
        <v>0</v>
      </c>
      <c r="L1907">
        <v>1.138798105843986</v>
      </c>
      <c r="M1907">
        <v>17.25</v>
      </c>
      <c r="N1907">
        <v>4.97</v>
      </c>
    </row>
  </sheetData>
  <autoFilter ref="A1:O1907"/>
  <conditionalFormatting sqref="A1:N1">
    <cfRule type="cellIs" dxfId="8" priority="15" operator="notEqual">
      <formula>-13.345</formula>
    </cfRule>
  </conditionalFormatting>
  <conditionalFormatting sqref="A2:A1907">
    <cfRule type="cellIs" dxfId="0" priority="1" operator="notEqual">
      <formula>"None"</formula>
    </cfRule>
  </conditionalFormatting>
  <conditionalFormatting sqref="B2:B1907">
    <cfRule type="cellIs" dxfId="1" priority="2" operator="notEqual">
      <formula>"None"</formula>
    </cfRule>
  </conditionalFormatting>
  <conditionalFormatting sqref="C2:C1907">
    <cfRule type="cellIs" dxfId="0" priority="3" operator="notEqual">
      <formula>"None"</formula>
    </cfRule>
  </conditionalFormatting>
  <conditionalFormatting sqref="D2:D1907">
    <cfRule type="cellIs" dxfId="2" priority="4" operator="notEqual">
      <formula>"None"</formula>
    </cfRule>
  </conditionalFormatting>
  <conditionalFormatting sqref="E2:E1907">
    <cfRule type="cellIs" dxfId="3" priority="5" operator="notEqual">
      <formula>"None"</formula>
    </cfRule>
  </conditionalFormatting>
  <conditionalFormatting sqref="F2:F1907">
    <cfRule type="cellIs" dxfId="4" priority="6" operator="notEqual">
      <formula>"None"</formula>
    </cfRule>
  </conditionalFormatting>
  <conditionalFormatting sqref="G2:G1907">
    <cfRule type="cellIs" dxfId="3" priority="7" operator="notEqual">
      <formula>"None"</formula>
    </cfRule>
  </conditionalFormatting>
  <conditionalFormatting sqref="H2:H1907">
    <cfRule type="cellIs" dxfId="2" priority="8" operator="notEqual">
      <formula>"None"</formula>
    </cfRule>
  </conditionalFormatting>
  <conditionalFormatting sqref="I2:I1907">
    <cfRule type="cellIs" dxfId="5" priority="9" operator="notEqual">
      <formula>"None"</formula>
    </cfRule>
  </conditionalFormatting>
  <conditionalFormatting sqref="J2:J1907">
    <cfRule type="cellIs" dxfId="6" priority="10" operator="notEqual">
      <formula>"None"</formula>
    </cfRule>
  </conditionalFormatting>
  <conditionalFormatting sqref="K2:K1907">
    <cfRule type="cellIs" dxfId="3" priority="11" operator="notEqual">
      <formula>"None"</formula>
    </cfRule>
  </conditionalFormatting>
  <conditionalFormatting sqref="L2:L1907">
    <cfRule type="cellIs" dxfId="7" priority="12" operator="notEqual">
      <formula>"None"</formula>
    </cfRule>
  </conditionalFormatting>
  <conditionalFormatting sqref="M2:M1907">
    <cfRule type="cellIs" dxfId="2" priority="13" operator="notEqual">
      <formula>"None"</formula>
    </cfRule>
  </conditionalFormatting>
  <conditionalFormatting sqref="N2:N1907">
    <cfRule type="cellIs" dxfId="2" priority="14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13</v>
      </c>
      <c r="B1" s="1" t="s">
        <v>0</v>
      </c>
      <c r="C1" s="1" t="s">
        <v>1932</v>
      </c>
      <c r="D1" s="1" t="s">
        <v>1933</v>
      </c>
      <c r="E1" s="1" t="s">
        <v>1934</v>
      </c>
      <c r="F1" s="1" t="s">
        <v>1935</v>
      </c>
      <c r="G1" s="1" t="s">
        <v>1936</v>
      </c>
      <c r="H1" s="1" t="s">
        <v>1937</v>
      </c>
      <c r="I1" s="1" t="s">
        <v>1938</v>
      </c>
    </row>
    <row r="2" spans="1:9">
      <c r="A2" s="1" t="s">
        <v>14</v>
      </c>
      <c r="B2">
        <f>HYPERLINK("https://www.suredividend.com/sure-analysis-research-database/","AMKOR Technology Inc.")</f>
        <v>0</v>
      </c>
      <c r="C2">
        <v>0.153132250580046</v>
      </c>
      <c r="D2">
        <v>0.668559790059143</v>
      </c>
      <c r="E2">
        <v>0.802596900162004</v>
      </c>
      <c r="F2">
        <v>0.243536280233527</v>
      </c>
      <c r="G2">
        <v>0.270168503910176</v>
      </c>
      <c r="H2">
        <v>0.8195908056357271</v>
      </c>
      <c r="I2">
        <v>1.901850878729492</v>
      </c>
    </row>
    <row r="3" spans="1:9">
      <c r="A3" s="1" t="s">
        <v>15</v>
      </c>
      <c r="B3">
        <f>HYPERLINK("https://www.suredividend.com/sure-analysis-research-database/","Amylyx Pharmaceuticals Inc")</f>
        <v>0</v>
      </c>
      <c r="C3">
        <v>-0.001963534361851</v>
      </c>
      <c r="D3">
        <v>0.09611829944547101</v>
      </c>
      <c r="E3">
        <v>0.6019810895992791</v>
      </c>
      <c r="F3">
        <v>-0.03707713125845701</v>
      </c>
      <c r="G3">
        <v>0.9690094078583281</v>
      </c>
      <c r="H3">
        <v>0.9690094078583281</v>
      </c>
      <c r="I3">
        <v>0.9690094078583281</v>
      </c>
    </row>
    <row r="4" spans="1:9">
      <c r="A4" s="1" t="s">
        <v>16</v>
      </c>
      <c r="B4">
        <f>HYPERLINK("https://www.suredividend.com/sure-analysis-research-database/","AMN Healthcare Services Inc.")</f>
        <v>0</v>
      </c>
      <c r="C4">
        <v>-0.05049100547492801</v>
      </c>
      <c r="D4">
        <v>-0.017887640449438</v>
      </c>
      <c r="E4">
        <v>-0.034549792347795</v>
      </c>
      <c r="F4">
        <v>0.062633728846527</v>
      </c>
      <c r="G4">
        <v>-0.06359273225917</v>
      </c>
      <c r="H4">
        <v>0.535197414641</v>
      </c>
      <c r="I4">
        <v>1.218477157360406</v>
      </c>
    </row>
    <row r="5" spans="1:9">
      <c r="A5" s="1" t="s">
        <v>17</v>
      </c>
      <c r="B5">
        <f>HYPERLINK("https://www.suredividend.com/sure-analysis-research-database/","American National Bankshares Inc.")</f>
        <v>0</v>
      </c>
      <c r="C5">
        <v>-0.035628181087597</v>
      </c>
      <c r="D5">
        <v>0.09250812552918301</v>
      </c>
      <c r="E5">
        <v>0.063452676355902</v>
      </c>
      <c r="F5">
        <v>-0.025182778229081</v>
      </c>
      <c r="G5">
        <v>-0.06176456024123</v>
      </c>
      <c r="H5">
        <v>0.349588375545458</v>
      </c>
      <c r="I5">
        <v>0.09474401235844301</v>
      </c>
    </row>
    <row r="6" spans="1:9">
      <c r="A6" s="1" t="s">
        <v>18</v>
      </c>
      <c r="B6">
        <f>HYPERLINK("https://www.suredividend.com/sure-analysis-research-database/","Allied Motion Technologies Inc")</f>
        <v>0</v>
      </c>
      <c r="C6">
        <v>0.07906976744186001</v>
      </c>
      <c r="D6">
        <v>0.380880460095084</v>
      </c>
      <c r="E6">
        <v>0.510398229188282</v>
      </c>
      <c r="F6">
        <v>0.06636024130996801</v>
      </c>
      <c r="G6">
        <v>-0.09849522532762101</v>
      </c>
      <c r="H6">
        <v>0.115294131786183</v>
      </c>
      <c r="I6">
        <v>0.647368958278783</v>
      </c>
    </row>
    <row r="7" spans="1:9">
      <c r="A7" s="1" t="s">
        <v>19</v>
      </c>
      <c r="B7">
        <f>HYPERLINK("https://www.suredividend.com/sure-analysis-research-database/","Ampio Pharmaceuticals Inc")</f>
        <v>0</v>
      </c>
      <c r="C7">
        <v>0.280425531914893</v>
      </c>
      <c r="D7">
        <v>4.152397260273973</v>
      </c>
      <c r="E7">
        <v>0.6487671232876711</v>
      </c>
      <c r="F7">
        <v>0.33614564831261</v>
      </c>
      <c r="G7">
        <v>-0.42783799201369</v>
      </c>
      <c r="H7">
        <v>-0.786595744680851</v>
      </c>
      <c r="I7">
        <v>-0.8976530612244891</v>
      </c>
    </row>
    <row r="8" spans="1:9">
      <c r="A8" s="1" t="s">
        <v>20</v>
      </c>
      <c r="B8">
        <f>HYPERLINK("https://www.suredividend.com/sure-analysis-research-database/","Amphastar Pharmaceuticals Inc")</f>
        <v>0</v>
      </c>
      <c r="C8">
        <v>-0.011980267794221</v>
      </c>
      <c r="D8">
        <v>-0.034435261707988</v>
      </c>
      <c r="E8">
        <v>-0.223483799501523</v>
      </c>
      <c r="F8">
        <v>0.0007137758743750001</v>
      </c>
      <c r="G8">
        <v>0.119361277445109</v>
      </c>
      <c r="H8">
        <v>0.416161616161616</v>
      </c>
      <c r="I8">
        <v>0.564732142857142</v>
      </c>
    </row>
    <row r="9" spans="1:9">
      <c r="A9" s="1" t="s">
        <v>21</v>
      </c>
      <c r="B9">
        <f>HYPERLINK("https://www.suredividend.com/sure-analysis-research-database/","Ameresco Inc.")</f>
        <v>0</v>
      </c>
      <c r="C9">
        <v>-0.07369800196528001</v>
      </c>
      <c r="D9">
        <v>-0.08345486955112601</v>
      </c>
      <c r="E9">
        <v>0.195266272189349</v>
      </c>
      <c r="F9">
        <v>-0.010150507525376</v>
      </c>
      <c r="G9">
        <v>-0.168112957787909</v>
      </c>
      <c r="H9">
        <v>-0.07702349869451601</v>
      </c>
      <c r="I9">
        <v>6.205095541401274</v>
      </c>
    </row>
    <row r="10" spans="1:9">
      <c r="A10" s="1" t="s">
        <v>22</v>
      </c>
      <c r="B10">
        <f>HYPERLINK("https://www.suredividend.com/sure-analysis-research-database/","A-Mark Precious Metals Inc")</f>
        <v>0</v>
      </c>
      <c r="C10">
        <v>0.053398058252427</v>
      </c>
      <c r="D10">
        <v>0.30722891566265</v>
      </c>
      <c r="E10">
        <v>0.373627396586969</v>
      </c>
      <c r="F10">
        <v>0.062194068528649</v>
      </c>
      <c r="G10">
        <v>0.365335504644879</v>
      </c>
      <c r="H10">
        <v>1.81409718513998</v>
      </c>
      <c r="I10">
        <v>5.204066531003515</v>
      </c>
    </row>
    <row r="11" spans="1:9">
      <c r="A11" s="1" t="s">
        <v>23</v>
      </c>
      <c r="B11">
        <f>HYPERLINK("https://www.suredividend.com/sure-analysis-research-database/","Amyris Inc")</f>
        <v>0</v>
      </c>
      <c r="C11">
        <v>-0.08750000000000001</v>
      </c>
      <c r="D11">
        <v>-0.491289198606271</v>
      </c>
      <c r="E11">
        <v>-0.365217391304347</v>
      </c>
      <c r="F11">
        <v>-0.045751633986928</v>
      </c>
      <c r="G11">
        <v>-0.6819172113289761</v>
      </c>
      <c r="H11">
        <v>-0.824729891956782</v>
      </c>
      <c r="I11">
        <v>-0.692631578947368</v>
      </c>
    </row>
    <row r="12" spans="1:9">
      <c r="A12" s="1" t="s">
        <v>24</v>
      </c>
      <c r="B12">
        <f>HYPERLINK("https://www.suredividend.com/sure-analysis-research-database/","Amneal Pharmaceuticals Inc")</f>
        <v>0</v>
      </c>
      <c r="C12">
        <v>-0.043478260869565</v>
      </c>
      <c r="D12">
        <v>0.032863849765258</v>
      </c>
      <c r="E12">
        <v>-0.333333333333333</v>
      </c>
      <c r="F12">
        <v>0.105527638190954</v>
      </c>
      <c r="G12">
        <v>-0.524838012958963</v>
      </c>
      <c r="H12">
        <v>-0.5397489539748951</v>
      </c>
      <c r="I12">
        <v>-0.853431045969353</v>
      </c>
    </row>
    <row r="13" spans="1:9">
      <c r="A13" s="1" t="s">
        <v>25</v>
      </c>
      <c r="B13">
        <f>HYPERLINK("https://www.suredividend.com/sure-analysis-research-database/","American Superconductor Corp.")</f>
        <v>0</v>
      </c>
      <c r="C13">
        <v>0.131578947368421</v>
      </c>
      <c r="D13">
        <v>-0.102088167053364</v>
      </c>
      <c r="E13">
        <v>-0.239685658153241</v>
      </c>
      <c r="F13">
        <v>0.051630434782608</v>
      </c>
      <c r="G13">
        <v>-0.621700879765395</v>
      </c>
      <c r="H13">
        <v>-0.868277739959155</v>
      </c>
      <c r="I13">
        <v>-0.203703703703703</v>
      </c>
    </row>
    <row r="14" spans="1:9">
      <c r="A14" s="1" t="s">
        <v>26</v>
      </c>
      <c r="B14">
        <f>HYPERLINK("https://www.suredividend.com/sure-analysis-research-database/","Amerisafe Inc")</f>
        <v>0</v>
      </c>
      <c r="C14">
        <v>0.018845467169212</v>
      </c>
      <c r="D14">
        <v>0.118976189075602</v>
      </c>
      <c r="E14">
        <v>0.043843033323306</v>
      </c>
      <c r="F14">
        <v>-0.011737540888974</v>
      </c>
      <c r="G14">
        <v>-0.046473287884863</v>
      </c>
      <c r="H14">
        <v>-0.03932483390195701</v>
      </c>
      <c r="I14">
        <v>0.123209720487861</v>
      </c>
    </row>
    <row r="15" spans="1:9">
      <c r="A15" s="1" t="s">
        <v>27</v>
      </c>
      <c r="B15">
        <f>HYPERLINK("https://www.suredividend.com/sure-analysis-research-database/","American Software Inc.")</f>
        <v>0</v>
      </c>
      <c r="C15">
        <v>0.06609195402298801</v>
      </c>
      <c r="D15">
        <v>-0.03940759152814401</v>
      </c>
      <c r="E15">
        <v>-0.120785368541416</v>
      </c>
      <c r="F15">
        <v>0.010899182561307</v>
      </c>
      <c r="G15">
        <v>-0.385178832585521</v>
      </c>
      <c r="H15">
        <v>-0.163524245959946</v>
      </c>
      <c r="I15">
        <v>0.390320223350634</v>
      </c>
    </row>
    <row r="16" spans="1:9">
      <c r="A16" s="1" t="s">
        <v>28</v>
      </c>
      <c r="B16">
        <f>HYPERLINK("https://www.suredividend.com/sure-analysis-research-database/","Amerant Bancorp Inc")</f>
        <v>0</v>
      </c>
      <c r="C16">
        <v>-0.015947807176513</v>
      </c>
      <c r="D16">
        <v>0.08493676197326601</v>
      </c>
      <c r="E16">
        <v>-0.034436648019261</v>
      </c>
      <c r="F16">
        <v>0.011549925484351</v>
      </c>
      <c r="G16">
        <v>-0.210188711080339</v>
      </c>
      <c r="H16">
        <v>0.727846651223175</v>
      </c>
      <c r="I16">
        <v>3.524999999999999</v>
      </c>
    </row>
    <row r="17" spans="1:9">
      <c r="A17" s="1" t="s">
        <v>29</v>
      </c>
      <c r="B17">
        <f>HYPERLINK("https://www.suredividend.com/sure-analysis-research-database/","Applied Molecular Transport Inc")</f>
        <v>0</v>
      </c>
      <c r="C17">
        <v>-0.568103448275862</v>
      </c>
      <c r="D17">
        <v>-0.5717948717948711</v>
      </c>
      <c r="E17">
        <v>-0.7858974358974351</v>
      </c>
      <c r="F17">
        <v>0.192857142857142</v>
      </c>
      <c r="G17">
        <v>-0.9588331963845521</v>
      </c>
      <c r="H17">
        <v>-0.9851025869759141</v>
      </c>
      <c r="I17">
        <v>-0.972135706340378</v>
      </c>
    </row>
    <row r="18" spans="1:9">
      <c r="A18" s="1" t="s">
        <v>30</v>
      </c>
      <c r="B18">
        <f>HYPERLINK("https://www.suredividend.com/sure-analysis-research-database/","Aemetis Inc")</f>
        <v>0</v>
      </c>
      <c r="C18">
        <v>0.079365079365079</v>
      </c>
      <c r="D18">
        <v>-0.351351351351351</v>
      </c>
      <c r="E18">
        <v>-0.224334600760456</v>
      </c>
      <c r="F18">
        <v>0.03030303030303</v>
      </c>
      <c r="G18">
        <v>-0.6246550137994481</v>
      </c>
      <c r="H18">
        <v>0.378378378378378</v>
      </c>
      <c r="I18">
        <v>5</v>
      </c>
    </row>
    <row r="19" spans="1:9">
      <c r="A19" s="1" t="s">
        <v>31</v>
      </c>
      <c r="B19">
        <f>HYPERLINK("https://www.suredividend.com/sure-analysis-research-database/","American Woodmark Corp.")</f>
        <v>0</v>
      </c>
      <c r="C19">
        <v>-0.046079524340393</v>
      </c>
      <c r="D19">
        <v>0.136846767050487</v>
      </c>
      <c r="E19">
        <v>0.132333480370533</v>
      </c>
      <c r="F19">
        <v>0.050757265656979</v>
      </c>
      <c r="G19">
        <v>-0.179741172711295</v>
      </c>
      <c r="H19">
        <v>-0.47499744350138</v>
      </c>
      <c r="I19">
        <v>-0.6155746911269181</v>
      </c>
    </row>
    <row r="20" spans="1:9">
      <c r="A20" s="1" t="s">
        <v>32</v>
      </c>
      <c r="B20">
        <f>HYPERLINK("https://www.suredividend.com/sure-analysis-research-database/","American Well Corporation")</f>
        <v>0</v>
      </c>
      <c r="C20">
        <v>0.033639143730886</v>
      </c>
      <c r="D20">
        <v>-0.110526315789473</v>
      </c>
      <c r="E20">
        <v>-0.285412262156448</v>
      </c>
      <c r="F20">
        <v>0.19434628975265</v>
      </c>
      <c r="G20">
        <v>-0.304526748971193</v>
      </c>
      <c r="H20">
        <v>-0.8754605747973471</v>
      </c>
      <c r="I20">
        <v>-0.8534893801473771</v>
      </c>
    </row>
    <row r="21" spans="1:9">
      <c r="A21" s="1" t="s">
        <v>33</v>
      </c>
      <c r="B21">
        <f>HYPERLINK("https://www.suredividend.com/sure-analysis-research-database/","AnaptysBio Inc")</f>
        <v>0</v>
      </c>
      <c r="C21">
        <v>-0.213928571428571</v>
      </c>
      <c r="D21">
        <v>-0.160564454614797</v>
      </c>
      <c r="E21">
        <v>0.083169291338582</v>
      </c>
      <c r="F21">
        <v>-0.289770893836721</v>
      </c>
      <c r="G21">
        <v>-0.328144078144078</v>
      </c>
      <c r="H21">
        <v>-0.131412786108918</v>
      </c>
      <c r="I21">
        <v>-0.7873840803709421</v>
      </c>
    </row>
    <row r="22" spans="1:9">
      <c r="A22" s="1" t="s">
        <v>34</v>
      </c>
      <c r="B22">
        <f>HYPERLINK("https://www.suredividend.com/sure-analysis-research-database/","American National Group Inc")</f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s="1" t="s">
        <v>35</v>
      </c>
      <c r="B23">
        <f>HYPERLINK("https://www.suredividend.com/sure-analysis-ANDE/","Andersons Inc.")</f>
        <v>0</v>
      </c>
      <c r="C23">
        <v>-0.029778702973313</v>
      </c>
      <c r="D23">
        <v>0.07531632984783901</v>
      </c>
      <c r="E23">
        <v>0.119983169023113</v>
      </c>
      <c r="F23">
        <v>-0.026293226636181</v>
      </c>
      <c r="G23">
        <v>-0.11992932570106</v>
      </c>
      <c r="H23">
        <v>0.411560961866724</v>
      </c>
      <c r="I23">
        <v>0.211231353365282</v>
      </c>
    </row>
    <row r="24" spans="1:9">
      <c r="A24" s="1" t="s">
        <v>36</v>
      </c>
      <c r="B24">
        <f>HYPERLINK("https://www.suredividend.com/sure-analysis-research-database/","Abercrombie &amp; Fitch Co.")</f>
        <v>0</v>
      </c>
      <c r="C24">
        <v>0.161509114031369</v>
      </c>
      <c r="D24">
        <v>0.806196440342781</v>
      </c>
      <c r="E24">
        <v>0.592097617664148</v>
      </c>
      <c r="F24">
        <v>0.195984286337843</v>
      </c>
      <c r="G24">
        <v>-0.174450135583006</v>
      </c>
      <c r="H24">
        <v>0.272642823966558</v>
      </c>
      <c r="I24">
        <v>0.721657063506525</v>
      </c>
    </row>
    <row r="25" spans="1:9">
      <c r="A25" s="1" t="s">
        <v>37</v>
      </c>
      <c r="B25">
        <f>HYPERLINK("https://www.suredividend.com/sure-analysis-research-database/","Angion Biomedica Corp")</f>
        <v>0</v>
      </c>
      <c r="C25">
        <v>0.153226775627929</v>
      </c>
      <c r="D25">
        <v>0.020742474204871</v>
      </c>
      <c r="E25">
        <v>-0.150796460176991</v>
      </c>
      <c r="F25">
        <v>0.182355840315426</v>
      </c>
      <c r="G25">
        <v>-0.6294980694980691</v>
      </c>
      <c r="H25">
        <v>-0.9436192714453581</v>
      </c>
      <c r="I25">
        <v>-0.9436192714453581</v>
      </c>
    </row>
    <row r="26" spans="1:9">
      <c r="A26" s="1" t="s">
        <v>38</v>
      </c>
      <c r="B26">
        <f>HYPERLINK("https://www.suredividend.com/sure-analysis-research-database/","Angiodynamic Inc")</f>
        <v>0</v>
      </c>
      <c r="C26">
        <v>0.18938775510204</v>
      </c>
      <c r="D26">
        <v>-0.08364779874213801</v>
      </c>
      <c r="E26">
        <v>-0.286483839373163</v>
      </c>
      <c r="F26">
        <v>0.058097312999273</v>
      </c>
      <c r="G26">
        <v>-0.378147673922321</v>
      </c>
      <c r="H26">
        <v>-0.215189873417721</v>
      </c>
      <c r="I26">
        <v>-0.111585365853658</v>
      </c>
    </row>
    <row r="27" spans="1:9">
      <c r="A27" s="1" t="s">
        <v>39</v>
      </c>
      <c r="B27">
        <f>HYPERLINK("https://www.suredividend.com/sure-analysis-research-database/","Anika Therapeutics Inc.")</f>
        <v>0</v>
      </c>
      <c r="C27">
        <v>-0.019908616187989</v>
      </c>
      <c r="D27">
        <v>0.224215246636771</v>
      </c>
      <c r="E27">
        <v>0.324658138509042</v>
      </c>
      <c r="F27">
        <v>0.014527027027027</v>
      </c>
      <c r="G27">
        <v>-0.126018626309662</v>
      </c>
      <c r="H27">
        <v>-0.299346710219318</v>
      </c>
      <c r="I27">
        <v>-0.4544959128065391</v>
      </c>
    </row>
    <row r="28" spans="1:9">
      <c r="A28" s="1" t="s">
        <v>40</v>
      </c>
      <c r="B28">
        <f>HYPERLINK("https://www.suredividend.com/sure-analysis-research-database/","ANI Pharmaceuticals Inc")</f>
        <v>0</v>
      </c>
      <c r="C28">
        <v>0.069620253164556</v>
      </c>
      <c r="D28">
        <v>0.309671419714817</v>
      </c>
      <c r="E28">
        <v>0.343402225755167</v>
      </c>
      <c r="F28">
        <v>0.05021128511061401</v>
      </c>
      <c r="G28">
        <v>-0.03692728516070101</v>
      </c>
      <c r="H28">
        <v>0.349409134461833</v>
      </c>
      <c r="I28">
        <v>-0.382851300029214</v>
      </c>
    </row>
    <row r="29" spans="1:9">
      <c r="A29" s="1" t="s">
        <v>41</v>
      </c>
      <c r="B29">
        <f>HYPERLINK("https://www.suredividend.com/sure-analysis-research-database/","Annexon Inc")</f>
        <v>0</v>
      </c>
      <c r="C29">
        <v>-0.131970260223048</v>
      </c>
      <c r="D29">
        <v>-0.257551669316375</v>
      </c>
      <c r="E29">
        <v>0.02863436123348</v>
      </c>
      <c r="F29">
        <v>-0.096711798839458</v>
      </c>
      <c r="G29">
        <v>-0.438026474127557</v>
      </c>
      <c r="H29">
        <v>-0.7906768265351861</v>
      </c>
      <c r="I29">
        <v>-0.737049549549549</v>
      </c>
    </row>
    <row r="30" spans="1:9">
      <c r="A30" s="1" t="s">
        <v>42</v>
      </c>
      <c r="B30">
        <f>HYPERLINK("https://www.suredividend.com/sure-analysis-research-database/","Angel Oak Mortgage Inc")</f>
        <v>0</v>
      </c>
      <c r="C30">
        <v>0.172473867595818</v>
      </c>
      <c r="D30">
        <v>-0.399477107853197</v>
      </c>
      <c r="E30">
        <v>-0.468101922104198</v>
      </c>
      <c r="F30">
        <v>0.422832980972515</v>
      </c>
      <c r="G30">
        <v>-0.547538691156499</v>
      </c>
      <c r="H30">
        <v>-0.5796088425813141</v>
      </c>
      <c r="I30">
        <v>-0.5796088425813141</v>
      </c>
    </row>
    <row r="31" spans="1:9">
      <c r="A31" s="1" t="s">
        <v>43</v>
      </c>
      <c r="B31">
        <f>HYPERLINK("https://www.suredividend.com/sure-analysis-research-database/","Artivion Inc")</f>
        <v>0</v>
      </c>
      <c r="C31">
        <v>-0.04471858134155701</v>
      </c>
      <c r="D31">
        <v>0.06902502157031901</v>
      </c>
      <c r="E31">
        <v>-0.35062893081761</v>
      </c>
      <c r="F31">
        <v>0.022277227722772</v>
      </c>
      <c r="G31">
        <v>-0.390855457227138</v>
      </c>
      <c r="H31">
        <v>-0.5045981607357051</v>
      </c>
      <c r="I31">
        <v>-0.356363636363636</v>
      </c>
    </row>
    <row r="32" spans="1:9">
      <c r="A32" s="1" t="s">
        <v>44</v>
      </c>
      <c r="B32">
        <f>HYPERLINK("https://www.suredividend.com/sure-analysis-research-database/","Alpha &amp; Omega Semiconductor Ltd")</f>
        <v>0</v>
      </c>
      <c r="C32">
        <v>-0.07207771858351601</v>
      </c>
      <c r="D32">
        <v>-0.034246575342465</v>
      </c>
      <c r="E32">
        <v>-0.146439896223695</v>
      </c>
      <c r="F32">
        <v>0.036401820091004</v>
      </c>
      <c r="G32">
        <v>-0.4548969072164941</v>
      </c>
      <c r="H32">
        <v>0.06319569120287201</v>
      </c>
      <c r="I32">
        <v>0.704663212435233</v>
      </c>
    </row>
    <row r="33" spans="1:9">
      <c r="A33" s="1" t="s">
        <v>45</v>
      </c>
      <c r="B33">
        <f>HYPERLINK("https://www.suredividend.com/sure-analysis-research-database/","American Outdoor Brands Inc")</f>
        <v>0</v>
      </c>
      <c r="C33">
        <v>0.01039697542533</v>
      </c>
      <c r="D33">
        <v>0.195749440715883</v>
      </c>
      <c r="E33">
        <v>0.133616118769883</v>
      </c>
      <c r="F33">
        <v>0.066866267465069</v>
      </c>
      <c r="G33">
        <v>-0.417121046892039</v>
      </c>
      <c r="H33">
        <v>-0.4376643871646501</v>
      </c>
      <c r="I33">
        <v>-0.398762654668166</v>
      </c>
    </row>
    <row r="34" spans="1:9">
      <c r="A34" s="1" t="s">
        <v>46</v>
      </c>
      <c r="B34">
        <f>HYPERLINK("https://www.suredividend.com/sure-analysis-APAM/","Artisan Partners Asset Management Inc")</f>
        <v>0</v>
      </c>
      <c r="C34">
        <v>-0.03929500144466901</v>
      </c>
      <c r="D34">
        <v>0.250070492696956</v>
      </c>
      <c r="E34">
        <v>-0.066152886921646</v>
      </c>
      <c r="F34">
        <v>0.119528619528619</v>
      </c>
      <c r="G34">
        <v>-0.232502204392164</v>
      </c>
      <c r="H34">
        <v>-0.256785603322447</v>
      </c>
      <c r="I34">
        <v>0.28327840001235</v>
      </c>
    </row>
    <row r="35" spans="1:9">
      <c r="A35" s="1" t="s">
        <v>47</v>
      </c>
      <c r="B35">
        <f>HYPERLINK("https://www.suredividend.com/sure-analysis-research-database/","American Public Education Inc")</f>
        <v>0</v>
      </c>
      <c r="C35">
        <v>-0.022222222222222</v>
      </c>
      <c r="D35">
        <v>0.353846153846153</v>
      </c>
      <c r="E35">
        <v>-0.121756487025948</v>
      </c>
      <c r="F35">
        <v>0.07404393816110601</v>
      </c>
      <c r="G35">
        <v>-0.425587467362924</v>
      </c>
      <c r="H35">
        <v>-0.5858173831189201</v>
      </c>
      <c r="I35">
        <v>-0.4698795180722891</v>
      </c>
    </row>
    <row r="36" spans="1:9">
      <c r="A36" s="1" t="s">
        <v>48</v>
      </c>
      <c r="B36">
        <f>HYPERLINK("https://www.suredividend.com/sure-analysis-research-database/","APi Group Corporation")</f>
        <v>0</v>
      </c>
      <c r="C36">
        <v>0.013911182450508</v>
      </c>
      <c r="D36">
        <v>0.344925479063165</v>
      </c>
      <c r="E36">
        <v>0.254966887417218</v>
      </c>
      <c r="F36">
        <v>0.007442849548112001</v>
      </c>
      <c r="G36">
        <v>-0.25744514106583</v>
      </c>
      <c r="H36">
        <v>0.123295791345583</v>
      </c>
      <c r="I36">
        <v>0.822115384615384</v>
      </c>
    </row>
    <row r="37" spans="1:9">
      <c r="A37" s="1" t="s">
        <v>49</v>
      </c>
      <c r="B37">
        <f>HYPERLINK("https://www.suredividend.com/sure-analysis-APLE/","Apple Hospitality REIT Inc")</f>
        <v>0</v>
      </c>
      <c r="C37">
        <v>-0.065984991180076</v>
      </c>
      <c r="D37">
        <v>0.078148511161114</v>
      </c>
      <c r="E37">
        <v>0.065513383721247</v>
      </c>
      <c r="F37">
        <v>-0.010139416983523</v>
      </c>
      <c r="G37">
        <v>-0.031161613655535</v>
      </c>
      <c r="H37">
        <v>0.279646090197845</v>
      </c>
      <c r="I37">
        <v>-0.01831391329487</v>
      </c>
    </row>
    <row r="38" spans="1:9">
      <c r="A38" s="1" t="s">
        <v>50</v>
      </c>
      <c r="B38">
        <f>HYPERLINK("https://www.suredividend.com/sure-analysis-research-database/","Apellis Pharmaceuticals Inc")</f>
        <v>0</v>
      </c>
      <c r="C38">
        <v>-0.029513535518013</v>
      </c>
      <c r="D38">
        <v>-0.181178086896788</v>
      </c>
      <c r="E38">
        <v>-0.026143790849673</v>
      </c>
      <c r="F38">
        <v>-0.077934635467027</v>
      </c>
      <c r="G38">
        <v>0.082406356413166</v>
      </c>
      <c r="H38">
        <v>-0.169193239240285</v>
      </c>
      <c r="I38">
        <v>1.188159706287288</v>
      </c>
    </row>
    <row r="39" spans="1:9">
      <c r="A39" s="1" t="s">
        <v>51</v>
      </c>
      <c r="B39">
        <f>HYPERLINK("https://www.suredividend.com/sure-analysis-research-database/","Applied Therapeutics Inc")</f>
        <v>0</v>
      </c>
      <c r="C39">
        <v>0.171161580317009</v>
      </c>
      <c r="D39">
        <v>0.5966779551685211</v>
      </c>
      <c r="E39">
        <v>0.049724342663273</v>
      </c>
      <c r="F39">
        <v>0.302763157894736</v>
      </c>
      <c r="G39">
        <v>-0.7625659472422061</v>
      </c>
      <c r="H39">
        <v>-0.9570455531453361</v>
      </c>
      <c r="I39">
        <v>-0.894670212765957</v>
      </c>
    </row>
    <row r="40" spans="1:9">
      <c r="A40" s="1" t="s">
        <v>52</v>
      </c>
      <c r="B40">
        <f>HYPERLINK("https://www.suredividend.com/sure-analysis-APOG/","Apogee Enterprises Inc.")</f>
        <v>0</v>
      </c>
      <c r="C40">
        <v>-0.017023134002619</v>
      </c>
      <c r="D40">
        <v>0.08234106720174901</v>
      </c>
      <c r="E40">
        <v>0.181789319290401</v>
      </c>
      <c r="F40">
        <v>0.013045434098065</v>
      </c>
      <c r="G40">
        <v>-0.026353733643758</v>
      </c>
      <c r="H40">
        <v>0.352597232941628</v>
      </c>
      <c r="I40">
        <v>0.08884848953699701</v>
      </c>
    </row>
    <row r="41" spans="1:9">
      <c r="A41" s="1" t="s">
        <v>53</v>
      </c>
      <c r="B41">
        <f>HYPERLINK("https://www.suredividend.com/sure-analysis-research-database/","Appfolio Inc")</f>
        <v>0</v>
      </c>
      <c r="C41">
        <v>0.041833224876824</v>
      </c>
      <c r="D41">
        <v>-0.000624219725343</v>
      </c>
      <c r="E41">
        <v>0.114569865738438</v>
      </c>
      <c r="F41">
        <v>0.06348453216929201</v>
      </c>
      <c r="G41">
        <v>-0.056490991749452</v>
      </c>
      <c r="H41">
        <v>-0.353056629913987</v>
      </c>
      <c r="I41">
        <v>1.733414634146341</v>
      </c>
    </row>
    <row r="42" spans="1:9">
      <c r="A42" s="1" t="s">
        <v>54</v>
      </c>
      <c r="B42">
        <f>HYPERLINK("https://www.suredividend.com/sure-analysis-research-database/","AppHarvest Inc")</f>
        <v>0</v>
      </c>
      <c r="C42">
        <v>0.052777443065429</v>
      </c>
      <c r="D42">
        <v>-0.511899441340782</v>
      </c>
      <c r="E42">
        <v>-0.812912205567451</v>
      </c>
      <c r="F42">
        <v>0.5398308071906941</v>
      </c>
      <c r="G42">
        <v>-0.7853316953316951</v>
      </c>
      <c r="H42">
        <v>-0.9543759791122711</v>
      </c>
      <c r="I42">
        <v>-0.912717282717282</v>
      </c>
    </row>
    <row r="43" spans="1:9">
      <c r="A43" s="1" t="s">
        <v>55</v>
      </c>
      <c r="B43">
        <f>HYPERLINK("https://www.suredividend.com/sure-analysis-research-database/","Appian Corp")</f>
        <v>0</v>
      </c>
      <c r="C43">
        <v>-0.169189907038512</v>
      </c>
      <c r="D43">
        <v>-0.268646247369651</v>
      </c>
      <c r="E43">
        <v>-0.4179382210643841</v>
      </c>
      <c r="F43">
        <v>-0.03931203931203901</v>
      </c>
      <c r="G43">
        <v>-0.486117956300312</v>
      </c>
      <c r="H43">
        <v>-0.7942240642063021</v>
      </c>
      <c r="I43">
        <v>-0.018512707875745</v>
      </c>
    </row>
    <row r="44" spans="1:9">
      <c r="A44" s="1" t="s">
        <v>56</v>
      </c>
      <c r="B44">
        <f>HYPERLINK("https://www.suredividend.com/sure-analysis-research-database/","Digital Turbine Inc")</f>
        <v>0</v>
      </c>
      <c r="C44">
        <v>-0.025594149908592</v>
      </c>
      <c r="D44">
        <v>0.107340720221606</v>
      </c>
      <c r="E44">
        <v>-0.0868075385494</v>
      </c>
      <c r="F44">
        <v>0.04921259842519601</v>
      </c>
      <c r="G44">
        <v>-0.6949055523755</v>
      </c>
      <c r="H44">
        <v>-0.6931491076568791</v>
      </c>
      <c r="I44">
        <v>7.28497409326425</v>
      </c>
    </row>
    <row r="45" spans="1:9">
      <c r="A45" s="1" t="s">
        <v>57</v>
      </c>
      <c r="B45">
        <f>HYPERLINK("https://www.suredividend.com/sure-analysis-APTS/","Preferred Apartment Communities Inc")</f>
        <v>0</v>
      </c>
      <c r="C45">
        <v>0.003613006824568</v>
      </c>
      <c r="D45">
        <v>0.008471157724889001</v>
      </c>
      <c r="E45">
        <v>0.528472383560973</v>
      </c>
      <c r="F45">
        <v>0.393906953923011</v>
      </c>
      <c r="G45">
        <v>1.526503016644602</v>
      </c>
      <c r="H45">
        <v>2.806449648284052</v>
      </c>
      <c r="I45">
        <v>1.152871068857428</v>
      </c>
    </row>
    <row r="46" spans="1:9">
      <c r="A46" s="1" t="s">
        <v>58</v>
      </c>
      <c r="B46">
        <f>HYPERLINK("https://www.suredividend.com/sure-analysis-research-database/","Apyx Medical Corp")</f>
        <v>0</v>
      </c>
      <c r="C46">
        <v>0.243654822335025</v>
      </c>
      <c r="D46">
        <v>-0.444444444444444</v>
      </c>
      <c r="E46">
        <v>-0.6464646464646461</v>
      </c>
      <c r="F46">
        <v>0.047008547008547</v>
      </c>
      <c r="G46">
        <v>-0.775229357798165</v>
      </c>
      <c r="H46">
        <v>-0.691823899371069</v>
      </c>
      <c r="I46">
        <v>-0.023904382470119</v>
      </c>
    </row>
    <row r="47" spans="1:9">
      <c r="A47" s="1" t="s">
        <v>59</v>
      </c>
      <c r="B47">
        <f>HYPERLINK("https://www.suredividend.com/sure-analysis-research-database/","AquaBounty Technologies Inc")</f>
        <v>0</v>
      </c>
      <c r="C47">
        <v>0.245356641173716</v>
      </c>
      <c r="D47">
        <v>0.225088284968524</v>
      </c>
      <c r="E47">
        <v>-0.5278698224852071</v>
      </c>
      <c r="F47">
        <v>0.044371727748691</v>
      </c>
      <c r="G47">
        <v>-0.6069458128078811</v>
      </c>
      <c r="H47">
        <v>-0.9145717344753741</v>
      </c>
      <c r="I47">
        <v>-0.8731478537360891</v>
      </c>
    </row>
    <row r="48" spans="1:9">
      <c r="A48" s="1" t="s">
        <v>60</v>
      </c>
      <c r="B48">
        <f>HYPERLINK("https://www.suredividend.com/sure-analysis-research-database/","Evoqua Water Technologies Corp")</f>
        <v>0</v>
      </c>
      <c r="C48">
        <v>-0.063649222065063</v>
      </c>
      <c r="D48">
        <v>0.178984861976847</v>
      </c>
      <c r="E48">
        <v>0.156668608037274</v>
      </c>
      <c r="F48">
        <v>0.003030303030302</v>
      </c>
      <c r="G48">
        <v>-0.062101534828807</v>
      </c>
      <c r="H48">
        <v>0.332885906040268</v>
      </c>
      <c r="I48">
        <v>0.621224489795918</v>
      </c>
    </row>
    <row r="49" spans="1:9">
      <c r="A49" s="1" t="s">
        <v>61</v>
      </c>
      <c r="B49">
        <f>HYPERLINK("https://www.suredividend.com/sure-analysis-research-database/","Antero Resources Corp")</f>
        <v>0</v>
      </c>
      <c r="C49">
        <v>-0.075447972335743</v>
      </c>
      <c r="D49">
        <v>-0.09003712871287101</v>
      </c>
      <c r="E49">
        <v>-0.051290322580645</v>
      </c>
      <c r="F49">
        <v>-0.05098418844788601</v>
      </c>
      <c r="G49">
        <v>0.5949023861171361</v>
      </c>
      <c r="H49">
        <v>3.918060200668896</v>
      </c>
      <c r="I49">
        <v>0.5144181256436661</v>
      </c>
    </row>
    <row r="50" spans="1:9">
      <c r="A50" s="1" t="s">
        <v>62</v>
      </c>
      <c r="B50">
        <f>HYPERLINK("https://www.suredividend.com/sure-analysis-research-database/","Accuray Inc")</f>
        <v>0</v>
      </c>
      <c r="C50">
        <v>0.050761421319796</v>
      </c>
      <c r="D50">
        <v>0.024752475247524</v>
      </c>
      <c r="E50">
        <v>-0.05045871559633</v>
      </c>
      <c r="F50">
        <v>-0.009569377990430001</v>
      </c>
      <c r="G50">
        <v>-0.515222482435597</v>
      </c>
      <c r="H50">
        <v>-0.563291139240506</v>
      </c>
      <c r="I50">
        <v>-0.545054945054945</v>
      </c>
    </row>
    <row r="51" spans="1:9">
      <c r="A51" s="1" t="s">
        <v>63</v>
      </c>
      <c r="B51">
        <f>HYPERLINK("https://www.suredividend.com/sure-analysis-research-database/","ArcBest Corp")</f>
        <v>0</v>
      </c>
      <c r="C51">
        <v>0.007263294422827001</v>
      </c>
      <c r="D51">
        <v>0.030977105033281</v>
      </c>
      <c r="E51">
        <v>0.02343920908154</v>
      </c>
      <c r="F51">
        <v>0.108794974300399</v>
      </c>
      <c r="G51">
        <v>-0.222441270086016</v>
      </c>
      <c r="H51">
        <v>0.6435665775678341</v>
      </c>
      <c r="I51">
        <v>1.230660523685329</v>
      </c>
    </row>
    <row r="52" spans="1:9">
      <c r="A52" s="1" t="s">
        <v>64</v>
      </c>
      <c r="B52">
        <f>HYPERLINK("https://www.suredividend.com/sure-analysis-research-database/","Arch Resources Inc")</f>
        <v>0</v>
      </c>
      <c r="C52">
        <v>-0.013480477753719</v>
      </c>
      <c r="D52">
        <v>0.05891429046969601</v>
      </c>
      <c r="E52">
        <v>0.09422718461946</v>
      </c>
      <c r="F52">
        <v>-0.010855101897891</v>
      </c>
      <c r="G52">
        <v>0.6640275971271841</v>
      </c>
      <c r="H52">
        <v>2.220429801060252</v>
      </c>
      <c r="I52">
        <v>0.6848182653195111</v>
      </c>
    </row>
    <row r="53" spans="1:9">
      <c r="A53" s="1" t="s">
        <v>65</v>
      </c>
      <c r="B53">
        <f>HYPERLINK("https://www.suredividend.com/sure-analysis-research-database/","Arcturus Therapeutics Holdings Inc")</f>
        <v>0</v>
      </c>
      <c r="C53">
        <v>-0.030732860520094</v>
      </c>
      <c r="D53">
        <v>0.065627030539311</v>
      </c>
      <c r="E53">
        <v>-0.139559286463798</v>
      </c>
      <c r="F53">
        <v>-0.033018867924528</v>
      </c>
      <c r="G53">
        <v>-0.5197657393850651</v>
      </c>
      <c r="H53">
        <v>-0.7645707723227101</v>
      </c>
      <c r="I53">
        <v>1.363112391930835</v>
      </c>
    </row>
    <row r="54" spans="1:9">
      <c r="A54" s="1" t="s">
        <v>66</v>
      </c>
      <c r="B54">
        <f>HYPERLINK("https://www.suredividend.com/sure-analysis-research-database/","Ardelyx Inc")</f>
        <v>0</v>
      </c>
      <c r="C54">
        <v>0.5280898876404491</v>
      </c>
      <c r="D54">
        <v>0.7548387096774191</v>
      </c>
      <c r="E54">
        <v>2.885714285714286</v>
      </c>
      <c r="F54">
        <v>-0.045614035087719</v>
      </c>
      <c r="G54">
        <v>1.72</v>
      </c>
      <c r="H54">
        <v>-0.6114285714285711</v>
      </c>
      <c r="I54">
        <v>-0.61418439716312</v>
      </c>
    </row>
    <row r="55" spans="1:9">
      <c r="A55" s="1" t="s">
        <v>67</v>
      </c>
      <c r="B55">
        <f>HYPERLINK("https://www.suredividend.com/sure-analysis-research-database/","Argo Group International Holdings Ltd")</f>
        <v>0</v>
      </c>
      <c r="C55">
        <v>0.034336419753086</v>
      </c>
      <c r="D55">
        <v>0.322129017304553</v>
      </c>
      <c r="E55">
        <v>-0.192503930557145</v>
      </c>
      <c r="F55">
        <v>0.037137330754351</v>
      </c>
      <c r="G55">
        <v>-0.5228909144620461</v>
      </c>
      <c r="H55">
        <v>-0.367125958694405</v>
      </c>
      <c r="I55">
        <v>-0.483126918271974</v>
      </c>
    </row>
    <row r="56" spans="1:9">
      <c r="A56" s="1" t="s">
        <v>68</v>
      </c>
      <c r="B56">
        <f>HYPERLINK("https://www.suredividend.com/sure-analysis-ARI/","Apollo Commercial Real Estate Finance Inc")</f>
        <v>0</v>
      </c>
      <c r="C56">
        <v>-0.011392608176291</v>
      </c>
      <c r="D56">
        <v>0.352768968040985</v>
      </c>
      <c r="E56">
        <v>0.10783677139004</v>
      </c>
      <c r="F56">
        <v>0.030669144981412</v>
      </c>
      <c r="G56">
        <v>-0.08107884161246201</v>
      </c>
      <c r="H56">
        <v>0.225929119409254</v>
      </c>
      <c r="I56">
        <v>0.080391239965708</v>
      </c>
    </row>
    <row r="57" spans="1:9">
      <c r="A57" s="1" t="s">
        <v>69</v>
      </c>
      <c r="B57">
        <f>HYPERLINK("https://www.suredividend.com/sure-analysis-research-database/","Aris Water Solutions Inc")</f>
        <v>0</v>
      </c>
      <c r="C57">
        <v>-0.01058901389808</v>
      </c>
      <c r="D57">
        <v>0.104951958610495</v>
      </c>
      <c r="E57">
        <v>-0.115185663048496</v>
      </c>
      <c r="F57">
        <v>0.037473976405274</v>
      </c>
      <c r="G57">
        <v>0.268658616271077</v>
      </c>
      <c r="H57">
        <v>0.07293057170333901</v>
      </c>
      <c r="I57">
        <v>0.07293057170333901</v>
      </c>
    </row>
    <row r="58" spans="1:9">
      <c r="A58" s="1" t="s">
        <v>70</v>
      </c>
      <c r="B58">
        <f>HYPERLINK("https://www.suredividend.com/sure-analysis-research-database/","ARKO Corp")</f>
        <v>0</v>
      </c>
      <c r="C58">
        <v>-0.08756756756756701</v>
      </c>
      <c r="D58">
        <v>-0.09818461571338501</v>
      </c>
      <c r="E58">
        <v>-0.023611480663111</v>
      </c>
      <c r="F58">
        <v>-0.025404157043879</v>
      </c>
      <c r="G58">
        <v>0.043392261095314</v>
      </c>
      <c r="H58">
        <v>0.006439303601240001</v>
      </c>
      <c r="I58">
        <v>-0.147474747474747</v>
      </c>
    </row>
    <row r="59" spans="1:9">
      <c r="A59" s="1" t="s">
        <v>71</v>
      </c>
      <c r="B59">
        <f>HYPERLINK("https://www.suredividend.com/sure-analysis-research-database/","Arlo Technologies Inc")</f>
        <v>0</v>
      </c>
      <c r="C59">
        <v>0.143712574850299</v>
      </c>
      <c r="D59">
        <v>-0.180257510729613</v>
      </c>
      <c r="E59">
        <v>-0.407751937984496</v>
      </c>
      <c r="F59">
        <v>0.08831908831908801</v>
      </c>
      <c r="G59">
        <v>-0.6078028747433261</v>
      </c>
      <c r="H59">
        <v>-0.546856465005931</v>
      </c>
      <c r="I59">
        <v>-0.8271493212669681</v>
      </c>
    </row>
    <row r="60" spans="1:9">
      <c r="A60" s="1" t="s">
        <v>72</v>
      </c>
      <c r="B60">
        <f>HYPERLINK("https://www.suredividend.com/sure-analysis-research-database/","Arconic Corporation")</f>
        <v>0</v>
      </c>
      <c r="C60">
        <v>0.019439421338155</v>
      </c>
      <c r="D60">
        <v>0.158787255909558</v>
      </c>
      <c r="E60">
        <v>-0.195217701641684</v>
      </c>
      <c r="F60">
        <v>0.065689981096408</v>
      </c>
      <c r="G60">
        <v>-0.350892343120322</v>
      </c>
      <c r="H60">
        <v>-0.237402773080825</v>
      </c>
      <c r="I60">
        <v>2.258670520231214</v>
      </c>
    </row>
    <row r="61" spans="1:9">
      <c r="A61" s="1" t="s">
        <v>73</v>
      </c>
      <c r="B61">
        <f>HYPERLINK("https://www.suredividend.com/sure-analysis-research-database/","Archrock Inc")</f>
        <v>0</v>
      </c>
      <c r="C61">
        <v>0.145141451414514</v>
      </c>
      <c r="D61">
        <v>0.344171407120788</v>
      </c>
      <c r="E61">
        <v>0.18363506916192</v>
      </c>
      <c r="F61">
        <v>0.03674832962138001</v>
      </c>
      <c r="G61">
        <v>0.221368037152677</v>
      </c>
      <c r="H61">
        <v>0.141448941309172</v>
      </c>
      <c r="I61">
        <v>0.306391636848382</v>
      </c>
    </row>
    <row r="62" spans="1:9">
      <c r="A62" s="1" t="s">
        <v>74</v>
      </c>
      <c r="B62">
        <f>HYPERLINK("https://www.suredividend.com/sure-analysis-AROW/","Arrow Financial Corp.")</f>
        <v>0</v>
      </c>
      <c r="C62">
        <v>0.001495662578522</v>
      </c>
      <c r="D62">
        <v>0.166249817120324</v>
      </c>
      <c r="E62">
        <v>0.107926905945344</v>
      </c>
      <c r="F62">
        <v>-0.012389380530973</v>
      </c>
      <c r="G62">
        <v>-0.031902681351982</v>
      </c>
      <c r="H62">
        <v>0.202292543487941</v>
      </c>
      <c r="I62">
        <v>0.3298326587517521</v>
      </c>
    </row>
    <row r="63" spans="1:9">
      <c r="A63" s="1" t="s">
        <v>75</v>
      </c>
      <c r="B63">
        <f>HYPERLINK("https://www.suredividend.com/sure-analysis-research-database/","Arcutis Biotherapeutics Inc")</f>
        <v>0</v>
      </c>
      <c r="C63">
        <v>-0.148235294117647</v>
      </c>
      <c r="D63">
        <v>-0.243469174503657</v>
      </c>
      <c r="E63">
        <v>-0.432156862745098</v>
      </c>
      <c r="F63">
        <v>-0.021621621621621</v>
      </c>
      <c r="G63">
        <v>-0.224008574490889</v>
      </c>
      <c r="H63">
        <v>-0.485795454545454</v>
      </c>
      <c r="I63">
        <v>-0.335779816513761</v>
      </c>
    </row>
    <row r="64" spans="1:9">
      <c r="A64" s="1" t="s">
        <v>76</v>
      </c>
      <c r="B64">
        <f>HYPERLINK("https://www.suredividend.com/sure-analysis-ARR/","ARMOUR Residential REIT Inc")</f>
        <v>0</v>
      </c>
      <c r="C64">
        <v>0.010501629563208</v>
      </c>
      <c r="D64">
        <v>0.278247971381206</v>
      </c>
      <c r="E64">
        <v>-0.09409927806205201</v>
      </c>
      <c r="F64">
        <v>0.040852575488454</v>
      </c>
      <c r="G64">
        <v>-0.310580124472052</v>
      </c>
      <c r="H64">
        <v>-0.302538711481926</v>
      </c>
      <c r="I64">
        <v>-0.5805927527000231</v>
      </c>
    </row>
    <row r="65" spans="1:9">
      <c r="A65" s="1" t="s">
        <v>77</v>
      </c>
      <c r="B65">
        <f>HYPERLINK("https://www.suredividend.com/sure-analysis-research-database/","Array Technologies Inc")</f>
        <v>0</v>
      </c>
      <c r="C65">
        <v>-0.051244509516837</v>
      </c>
      <c r="D65">
        <v>0.178181818181818</v>
      </c>
      <c r="E65">
        <v>0.5539568345323741</v>
      </c>
      <c r="F65">
        <v>0.005690636316606001</v>
      </c>
      <c r="G65">
        <v>0.3767705382436261</v>
      </c>
      <c r="H65">
        <v>-0.617021276595744</v>
      </c>
      <c r="I65">
        <v>-0.4666666666666661</v>
      </c>
    </row>
    <row r="66" spans="1:9">
      <c r="A66" s="1" t="s">
        <v>78</v>
      </c>
      <c r="B66">
        <f>HYPERLINK("https://www.suredividend.com/sure-analysis-ARTNA/","Artesian Resources Corp.")</f>
        <v>0</v>
      </c>
      <c r="C66">
        <v>0.07521645021645</v>
      </c>
      <c r="D66">
        <v>0.293137110280016</v>
      </c>
      <c r="E66">
        <v>0.20148749836234</v>
      </c>
      <c r="F66">
        <v>0.017582792762034</v>
      </c>
      <c r="G66">
        <v>0.395110443317933</v>
      </c>
      <c r="H66">
        <v>0.6365717925416691</v>
      </c>
      <c r="I66">
        <v>0.7377235559053741</v>
      </c>
    </row>
    <row r="67" spans="1:9">
      <c r="A67" s="1" t="s">
        <v>79</v>
      </c>
      <c r="B67">
        <f>HYPERLINK("https://www.suredividend.com/sure-analysis-research-database/","Arvinas Inc")</f>
        <v>0</v>
      </c>
      <c r="C67">
        <v>-0.217843459222769</v>
      </c>
      <c r="D67">
        <v>-0.310328185328185</v>
      </c>
      <c r="E67">
        <v>-0.452595288258954</v>
      </c>
      <c r="F67">
        <v>-0.164571762642502</v>
      </c>
      <c r="G67">
        <v>-0.5855568445475631</v>
      </c>
      <c r="H67">
        <v>-0.64470412729985</v>
      </c>
      <c r="I67">
        <v>0.780685358255451</v>
      </c>
    </row>
    <row r="68" spans="1:9">
      <c r="A68" s="1" t="s">
        <v>80</v>
      </c>
      <c r="B68">
        <f>HYPERLINK("https://www.suredividend.com/sure-analysis-research-database/","Arrowhead Pharmaceuticals Inc.")</f>
        <v>0</v>
      </c>
      <c r="C68">
        <v>0.001322751322751</v>
      </c>
      <c r="D68">
        <v>-0.04237824161922801</v>
      </c>
      <c r="E68">
        <v>-0.274382937934339</v>
      </c>
      <c r="F68">
        <v>-0.253451676528599</v>
      </c>
      <c r="G68">
        <v>-0.4863443596268021</v>
      </c>
      <c r="H68">
        <v>-0.620931397095643</v>
      </c>
      <c r="I68">
        <v>5.554112554112554</v>
      </c>
    </row>
    <row r="69" spans="1:9">
      <c r="A69" s="1" t="s">
        <v>81</v>
      </c>
      <c r="B69">
        <f>HYPERLINK("https://www.suredividend.com/sure-analysis-research-database/","Asana Inc")</f>
        <v>0</v>
      </c>
      <c r="C69">
        <v>-0.15283540802213</v>
      </c>
      <c r="D69">
        <v>-0.490008326394671</v>
      </c>
      <c r="E69">
        <v>-0.39565860878145</v>
      </c>
      <c r="F69">
        <v>-0.11038489469862</v>
      </c>
      <c r="G69">
        <v>-0.7999019928128061</v>
      </c>
      <c r="H69">
        <v>-0.612096263457884</v>
      </c>
      <c r="I69">
        <v>-0.574652777777777</v>
      </c>
    </row>
    <row r="70" spans="1:9">
      <c r="A70" s="1" t="s">
        <v>82</v>
      </c>
      <c r="B70">
        <f>HYPERLINK("https://www.suredividend.com/sure-analysis-ASB/","Associated Banc-Corp.")</f>
        <v>0</v>
      </c>
      <c r="C70">
        <v>0.015330705212439</v>
      </c>
      <c r="D70">
        <v>0.109096215771367</v>
      </c>
      <c r="E70">
        <v>0.273591384852064</v>
      </c>
      <c r="F70">
        <v>0.003897791251624</v>
      </c>
      <c r="G70">
        <v>-0.045178936268371</v>
      </c>
      <c r="H70">
        <v>0.286298534463145</v>
      </c>
      <c r="I70">
        <v>0.047707292820176</v>
      </c>
    </row>
    <row r="71" spans="1:9">
      <c r="A71" s="1" t="s">
        <v>83</v>
      </c>
      <c r="B71">
        <f>HYPERLINK("https://www.suredividend.com/sure-analysis-research-database/","ASGN Inc")</f>
        <v>0</v>
      </c>
      <c r="C71">
        <v>0.008441326833907001</v>
      </c>
      <c r="D71">
        <v>-0.085104088016395</v>
      </c>
      <c r="E71">
        <v>-0.08677863910422001</v>
      </c>
      <c r="F71">
        <v>0.04099165439371601</v>
      </c>
      <c r="G71">
        <v>-0.29032797858099</v>
      </c>
      <c r="H71">
        <v>-0.053665067499721</v>
      </c>
      <c r="I71">
        <v>0.265781226682584</v>
      </c>
    </row>
    <row r="72" spans="1:9">
      <c r="A72" s="1" t="s">
        <v>84</v>
      </c>
      <c r="B72">
        <f>HYPERLINK("https://www.suredividend.com/sure-analysis-research-database/","AdvanSix Inc")</f>
        <v>0</v>
      </c>
      <c r="C72">
        <v>-0.022985664854176</v>
      </c>
      <c r="D72">
        <v>0.211822086246907</v>
      </c>
      <c r="E72">
        <v>0.156189400963442</v>
      </c>
      <c r="F72">
        <v>0.039715938979484</v>
      </c>
      <c r="G72">
        <v>-0.121575076109419</v>
      </c>
      <c r="H72">
        <v>0.8164023011744811</v>
      </c>
      <c r="I72">
        <v>-0.028059167174806</v>
      </c>
    </row>
    <row r="73" spans="1:9">
      <c r="A73" s="1" t="s">
        <v>85</v>
      </c>
      <c r="B73">
        <f>HYPERLINK("https://www.suredividend.com/sure-analysis-research-database/","AerSale Corp")</f>
        <v>0</v>
      </c>
      <c r="C73">
        <v>0.075275794938351</v>
      </c>
      <c r="D73">
        <v>-0.113903743315508</v>
      </c>
      <c r="E73">
        <v>0.051395939086294</v>
      </c>
      <c r="F73">
        <v>0.02157829839704</v>
      </c>
      <c r="G73">
        <v>0.05474220241884101</v>
      </c>
      <c r="H73">
        <v>0.115824915824915</v>
      </c>
      <c r="I73">
        <v>0.7117768595041321</v>
      </c>
    </row>
    <row r="74" spans="1:9">
      <c r="A74" s="1" t="s">
        <v>86</v>
      </c>
      <c r="B74">
        <f>HYPERLINK("https://www.suredividend.com/sure-analysis-research-database/","Academy Sports and Outdoors Inc")</f>
        <v>0</v>
      </c>
      <c r="C74">
        <v>-0.006847236552435</v>
      </c>
      <c r="D74">
        <v>0.213581323432906</v>
      </c>
      <c r="E74">
        <v>0.4200585905655511</v>
      </c>
      <c r="F74">
        <v>0.027788351732013</v>
      </c>
      <c r="G74">
        <v>0.33744473752647</v>
      </c>
      <c r="H74">
        <v>1.617610703119319</v>
      </c>
      <c r="I74">
        <v>3.187377383509488</v>
      </c>
    </row>
    <row r="75" spans="1:9">
      <c r="A75" s="1" t="s">
        <v>87</v>
      </c>
      <c r="B75">
        <f>HYPERLINK("https://www.suredividend.com/sure-analysis-research-database/","Aspen Aerogels Inc.")</f>
        <v>0</v>
      </c>
      <c r="C75">
        <v>-0.002647837599293</v>
      </c>
      <c r="D75">
        <v>0.189473684210526</v>
      </c>
      <c r="E75">
        <v>0.04921077065923801</v>
      </c>
      <c r="F75">
        <v>-0.041560644614079</v>
      </c>
      <c r="G75">
        <v>-0.740229885057471</v>
      </c>
      <c r="H75">
        <v>-0.369419642857142</v>
      </c>
      <c r="I75">
        <v>1.211350293542074</v>
      </c>
    </row>
    <row r="76" spans="1:9">
      <c r="A76" s="1" t="s">
        <v>88</v>
      </c>
      <c r="B76">
        <f>HYPERLINK("https://www.suredividend.com/sure-analysis-research-database/","Astec Industries Inc.")</f>
        <v>0</v>
      </c>
      <c r="C76">
        <v>-0.102256361017762</v>
      </c>
      <c r="D76">
        <v>0.170018739070179</v>
      </c>
      <c r="E76">
        <v>-0.08639212831549201</v>
      </c>
      <c r="F76">
        <v>-0.08017707820954201</v>
      </c>
      <c r="G76">
        <v>-0.4694267823146041</v>
      </c>
      <c r="H76">
        <v>-0.41180078604804</v>
      </c>
      <c r="I76">
        <v>-0.362707844146284</v>
      </c>
    </row>
    <row r="77" spans="1:9">
      <c r="A77" s="1" t="s">
        <v>89</v>
      </c>
      <c r="B77">
        <f>HYPERLINK("https://www.suredividend.com/sure-analysis-research-database/","Asensus Surgical Inc")</f>
        <v>0</v>
      </c>
      <c r="C77">
        <v>0.141813602015113</v>
      </c>
      <c r="D77">
        <v>0.105070697220867</v>
      </c>
      <c r="E77">
        <v>0.007333333333333001</v>
      </c>
      <c r="F77">
        <v>0.305963699222126</v>
      </c>
      <c r="G77">
        <v>-0.5205711263881541</v>
      </c>
      <c r="H77">
        <v>-0.609224137931034</v>
      </c>
      <c r="I77">
        <v>-0.982652123995407</v>
      </c>
    </row>
    <row r="78" spans="1:9">
      <c r="A78" s="1" t="s">
        <v>90</v>
      </c>
      <c r="B78">
        <f>HYPERLINK("https://www.suredividend.com/sure-analysis-research-database/","Atlas Technical Consultants Inc")</f>
        <v>0</v>
      </c>
      <c r="C78">
        <v>0.130859375</v>
      </c>
      <c r="D78">
        <v>-0.157205240174672</v>
      </c>
      <c r="E78">
        <v>0.092452830188679</v>
      </c>
      <c r="F78">
        <v>0.124271844660194</v>
      </c>
      <c r="G78">
        <v>-0.272613065326633</v>
      </c>
      <c r="H78">
        <v>-0.353072625698324</v>
      </c>
      <c r="I78">
        <v>-0.4</v>
      </c>
    </row>
    <row r="79" spans="1:9">
      <c r="A79" s="1" t="s">
        <v>91</v>
      </c>
      <c r="B79">
        <f>HYPERLINK("https://www.suredividend.com/sure-analysis-research-database/","Alphatec Holdings Inc")</f>
        <v>0</v>
      </c>
      <c r="C79">
        <v>0.250261780104712</v>
      </c>
      <c r="D79">
        <v>0.331103678929765</v>
      </c>
      <c r="E79">
        <v>0.6936170212765951</v>
      </c>
      <c r="F79">
        <v>-0.033198380566801</v>
      </c>
      <c r="G79">
        <v>0.056637168141592</v>
      </c>
      <c r="H79">
        <v>-0.107289719626168</v>
      </c>
      <c r="I79">
        <v>2.618181818181818</v>
      </c>
    </row>
    <row r="80" spans="1:9">
      <c r="A80" s="1" t="s">
        <v>92</v>
      </c>
      <c r="B80">
        <f>HYPERLINK("https://www.suredividend.com/sure-analysis-research-database/","A10 Networks Inc")</f>
        <v>0</v>
      </c>
      <c r="C80">
        <v>-0.15166130760986</v>
      </c>
      <c r="D80">
        <v>0.07453892573259301</v>
      </c>
      <c r="E80">
        <v>0.11890187873733</v>
      </c>
      <c r="F80">
        <v>-0.04810583283223</v>
      </c>
      <c r="G80">
        <v>0.07358426585283101</v>
      </c>
      <c r="H80">
        <v>0.590778908864346</v>
      </c>
      <c r="I80">
        <v>1.143650299271457</v>
      </c>
    </row>
    <row r="81" spans="1:9">
      <c r="A81" s="1" t="s">
        <v>93</v>
      </c>
      <c r="B81">
        <f>HYPERLINK("https://www.suredividend.com/sure-analysis-research-database/","Aterian Inc")</f>
        <v>0</v>
      </c>
      <c r="C81">
        <v>-0.206237623762376</v>
      </c>
      <c r="D81">
        <v>-0.257685185185185</v>
      </c>
      <c r="E81">
        <v>-0.6843700787401571</v>
      </c>
      <c r="F81">
        <v>0.040763338958847</v>
      </c>
      <c r="G81">
        <v>-0.791766233766233</v>
      </c>
      <c r="H81">
        <v>-0.9616778202676861</v>
      </c>
      <c r="I81">
        <v>-0.91983</v>
      </c>
    </row>
    <row r="82" spans="1:9">
      <c r="A82" s="1" t="s">
        <v>94</v>
      </c>
      <c r="B82">
        <f>HYPERLINK("https://www.suredividend.com/sure-analysis-research-database/","Anterix Inc")</f>
        <v>0</v>
      </c>
      <c r="C82">
        <v>-0.004749183734045001</v>
      </c>
      <c r="D82">
        <v>-0.024155995343422</v>
      </c>
      <c r="E82">
        <v>-0.164257228315054</v>
      </c>
      <c r="F82">
        <v>0.042275411874417</v>
      </c>
      <c r="G82">
        <v>-0.3962909614692111</v>
      </c>
      <c r="H82">
        <v>-0.043639475185396</v>
      </c>
      <c r="I82">
        <v>0.011463046757164</v>
      </c>
    </row>
    <row r="83" spans="1:9">
      <c r="A83" s="1" t="s">
        <v>95</v>
      </c>
      <c r="B83">
        <f>HYPERLINK("https://www.suredividend.com/sure-analysis-research-database/","Adtalem Global Education Inc")</f>
        <v>0</v>
      </c>
      <c r="C83">
        <v>-0.04044704630122301</v>
      </c>
      <c r="D83">
        <v>-0.018508437670114</v>
      </c>
      <c r="E83">
        <v>-0.054039874081846</v>
      </c>
      <c r="F83">
        <v>0.015774647887323</v>
      </c>
      <c r="G83">
        <v>0.194831013916501</v>
      </c>
      <c r="H83">
        <v>0.05346187554776501</v>
      </c>
      <c r="I83">
        <v>-0.200443458980044</v>
      </c>
    </row>
    <row r="84" spans="1:9">
      <c r="A84" s="1" t="s">
        <v>96</v>
      </c>
      <c r="B84">
        <f>HYPERLINK("https://www.suredividend.com/sure-analysis-research-database/","Athira Pharma Inc")</f>
        <v>0</v>
      </c>
      <c r="C84">
        <v>0.201342281879194</v>
      </c>
      <c r="D84">
        <v>0.185430463576159</v>
      </c>
      <c r="E84">
        <v>-0.04787234042553101</v>
      </c>
      <c r="F84">
        <v>0.129337539432176</v>
      </c>
      <c r="G84">
        <v>-0.701915070774354</v>
      </c>
      <c r="H84">
        <v>-0.8677502770594751</v>
      </c>
      <c r="I84">
        <v>-0.7907656341320861</v>
      </c>
    </row>
    <row r="85" spans="1:9">
      <c r="A85" s="1" t="s">
        <v>97</v>
      </c>
      <c r="B85">
        <f>HYPERLINK("https://www.suredividend.com/sure-analysis-research-database/","Athersys Inc")</f>
        <v>0</v>
      </c>
      <c r="C85">
        <v>0.6684524720649011</v>
      </c>
      <c r="D85">
        <v>-0.347305389221556</v>
      </c>
      <c r="E85">
        <v>-0.829554339327599</v>
      </c>
      <c r="F85">
        <v>0.297619047619047</v>
      </c>
      <c r="G85">
        <v>-0.9500229252636401</v>
      </c>
      <c r="H85">
        <v>-0.9777551020408161</v>
      </c>
      <c r="I85">
        <v>-0.9776410256410251</v>
      </c>
    </row>
    <row r="86" spans="1:9">
      <c r="A86" s="1" t="s">
        <v>98</v>
      </c>
      <c r="B86">
        <f>HYPERLINK("https://www.suredividend.com/sure-analysis-research-database/","ATI Inc")</f>
        <v>0</v>
      </c>
      <c r="C86">
        <v>0.099593495934959</v>
      </c>
      <c r="D86">
        <v>0.160944206008583</v>
      </c>
      <c r="E86">
        <v>0.481515289821999</v>
      </c>
      <c r="F86">
        <v>0.08707300736771501</v>
      </c>
      <c r="G86">
        <v>0.777656078860897</v>
      </c>
      <c r="H86">
        <v>0.7349011223944411</v>
      </c>
      <c r="I86">
        <v>0.191192660550458</v>
      </c>
    </row>
    <row r="87" spans="1:9">
      <c r="A87" s="1" t="s">
        <v>99</v>
      </c>
      <c r="B87">
        <f>HYPERLINK("https://www.suredividend.com/sure-analysis-research-database/","Atkore Inc")</f>
        <v>0</v>
      </c>
      <c r="C87">
        <v>-0.05243902439024301</v>
      </c>
      <c r="D87">
        <v>0.350991074533441</v>
      </c>
      <c r="E87">
        <v>0.295431810603534</v>
      </c>
      <c r="F87">
        <v>0.027596543819432</v>
      </c>
      <c r="G87">
        <v>0.105263157894736</v>
      </c>
      <c r="H87">
        <v>1.543094043203142</v>
      </c>
      <c r="I87">
        <v>4.380886426592798</v>
      </c>
    </row>
    <row r="88" spans="1:9">
      <c r="A88" s="1" t="s">
        <v>100</v>
      </c>
      <c r="B88">
        <f>HYPERLINK("https://www.suredividend.com/sure-analysis-research-database/","Atlanticus Holdings Corp")</f>
        <v>0</v>
      </c>
      <c r="C88">
        <v>0.064925373134328</v>
      </c>
      <c r="D88">
        <v>0.08147025388404601</v>
      </c>
      <c r="E88">
        <v>-0.263863812225948</v>
      </c>
      <c r="F88">
        <v>0.08931297709923601</v>
      </c>
      <c r="G88">
        <v>-0.574410975246048</v>
      </c>
      <c r="H88">
        <v>0.196144174350377</v>
      </c>
      <c r="I88">
        <v>11.35497835497836</v>
      </c>
    </row>
    <row r="89" spans="1:9">
      <c r="A89" s="1" t="s">
        <v>101</v>
      </c>
      <c r="B89">
        <f>HYPERLINK("https://www.suredividend.com/sure-analysis-research-database/","ATN International Inc")</f>
        <v>0</v>
      </c>
      <c r="C89">
        <v>0.007065613057553001</v>
      </c>
      <c r="D89">
        <v>0.29373939295735</v>
      </c>
      <c r="E89">
        <v>0.003202930913243</v>
      </c>
      <c r="F89">
        <v>0.004414036636503</v>
      </c>
      <c r="G89">
        <v>0.109026220879227</v>
      </c>
      <c r="H89">
        <v>-0.026690619786988</v>
      </c>
      <c r="I89">
        <v>-0.205154358290077</v>
      </c>
    </row>
    <row r="90" spans="1:9">
      <c r="A90" s="1" t="s">
        <v>102</v>
      </c>
      <c r="B90">
        <f>HYPERLINK("https://www.suredividend.com/sure-analysis-research-database/","Athenex Inc")</f>
        <v>0</v>
      </c>
      <c r="C90">
        <v>0.055882352941176</v>
      </c>
      <c r="D90">
        <v>-0.254877542548775</v>
      </c>
      <c r="E90">
        <v>-0.6780846484935431</v>
      </c>
      <c r="F90">
        <v>0.216949152542372</v>
      </c>
      <c r="G90">
        <v>-0.8586614173228341</v>
      </c>
      <c r="H90">
        <v>-0.9845922746781111</v>
      </c>
      <c r="I90">
        <v>-0.9883517196625561</v>
      </c>
    </row>
    <row r="91" spans="1:9">
      <c r="A91" s="1" t="s">
        <v>103</v>
      </c>
      <c r="B91">
        <f>HYPERLINK("https://www.suredividend.com/sure-analysis-research-database/","Atomera Inc")</f>
        <v>0</v>
      </c>
      <c r="C91">
        <v>-0.05428571428571401</v>
      </c>
      <c r="D91">
        <v>-0.308977035490605</v>
      </c>
      <c r="E91">
        <v>-0.36100386100386</v>
      </c>
      <c r="F91">
        <v>0.06430868167202501</v>
      </c>
      <c r="G91">
        <v>-0.6195402298850571</v>
      </c>
      <c r="H91">
        <v>-0.758746355685131</v>
      </c>
      <c r="I91">
        <v>0.451754385964912</v>
      </c>
    </row>
    <row r="92" spans="1:9">
      <c r="A92" s="1" t="s">
        <v>104</v>
      </c>
      <c r="B92">
        <f>HYPERLINK("https://www.suredividend.com/sure-analysis-research-database/","Atossa Therapeutics Inc")</f>
        <v>0</v>
      </c>
      <c r="C92">
        <v>0.04725586959772601</v>
      </c>
      <c r="D92">
        <v>-0.136604611022068</v>
      </c>
      <c r="E92">
        <v>-0.351574074074074</v>
      </c>
      <c r="F92">
        <v>0.325070955534531</v>
      </c>
      <c r="G92">
        <v>-0.542287581699346</v>
      </c>
      <c r="H92">
        <v>-0.269760166840458</v>
      </c>
      <c r="I92">
        <v>-0.7836978008401281</v>
      </c>
    </row>
    <row r="93" spans="1:9">
      <c r="A93" s="1" t="s">
        <v>105</v>
      </c>
      <c r="B93">
        <f>HYPERLINK("https://www.suredividend.com/sure-analysis-research-database/","Atara Biotherapeutics Inc")</f>
        <v>0</v>
      </c>
      <c r="C93">
        <v>-0.211235955056179</v>
      </c>
      <c r="D93">
        <v>-0.081151832460732</v>
      </c>
      <c r="E93">
        <v>-0.5870588235294111</v>
      </c>
      <c r="F93">
        <v>0.07012195121951201</v>
      </c>
      <c r="G93">
        <v>-0.776575429662635</v>
      </c>
      <c r="H93">
        <v>-0.8280254777070061</v>
      </c>
      <c r="I93">
        <v>-0.81860465116279</v>
      </c>
    </row>
    <row r="94" spans="1:9">
      <c r="A94" s="1" t="s">
        <v>106</v>
      </c>
      <c r="B94">
        <f>HYPERLINK("https://www.suredividend.com/sure-analysis-research-database/","Atricure Inc")</f>
        <v>0</v>
      </c>
      <c r="C94">
        <v>0.03196991067230801</v>
      </c>
      <c r="D94">
        <v>0.144719687092568</v>
      </c>
      <c r="E94">
        <v>0.002740977615349</v>
      </c>
      <c r="F94">
        <v>-0.010815682739973</v>
      </c>
      <c r="G94">
        <v>-0.287568971113274</v>
      </c>
      <c r="H94">
        <v>-0.228742094167252</v>
      </c>
      <c r="I94">
        <v>1.447045707915272</v>
      </c>
    </row>
    <row r="95" spans="1:9">
      <c r="A95" s="1" t="s">
        <v>107</v>
      </c>
      <c r="B95">
        <f>HYPERLINK("https://www.suredividend.com/sure-analysis-ATRI/","Atrion Corp.")</f>
        <v>0</v>
      </c>
      <c r="C95">
        <v>-0.071075654582074</v>
      </c>
      <c r="D95">
        <v>0.015107712153385</v>
      </c>
      <c r="E95">
        <v>-0.038046338677429</v>
      </c>
      <c r="F95">
        <v>0.05523281794619701</v>
      </c>
      <c r="G95">
        <v>-0.106942281408107</v>
      </c>
      <c r="H95">
        <v>-0.09287606153169101</v>
      </c>
      <c r="I95">
        <v>0.025274354455762</v>
      </c>
    </row>
    <row r="96" spans="1:9">
      <c r="A96" s="1" t="s">
        <v>108</v>
      </c>
      <c r="B96">
        <f>HYPERLINK("https://www.suredividend.com/sure-analysis-research-database/","Astronics Corp.")</f>
        <v>0</v>
      </c>
      <c r="C96">
        <v>-0.025837320574162</v>
      </c>
      <c r="D96">
        <v>0.337713534822601</v>
      </c>
      <c r="E96">
        <v>0.006923837784371001</v>
      </c>
      <c r="F96">
        <v>-0.011650485436893</v>
      </c>
      <c r="G96">
        <v>-0.253118121790168</v>
      </c>
      <c r="H96">
        <v>-0.225266362252663</v>
      </c>
      <c r="I96">
        <v>-0.7469550086999751</v>
      </c>
    </row>
    <row r="97" spans="1:9">
      <c r="A97" s="1" t="s">
        <v>109</v>
      </c>
      <c r="B97">
        <f>HYPERLINK("https://www.suredividend.com/sure-analysis-research-database/","Antares Pharma Inc")</f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 s="1" t="s">
        <v>110</v>
      </c>
      <c r="B98">
        <f>HYPERLINK("https://www.suredividend.com/sure-analysis-research-database/","Air Transport Services Group Inc")</f>
        <v>0</v>
      </c>
      <c r="C98">
        <v>-0.03159441587068301</v>
      </c>
      <c r="D98">
        <v>-0.021529324424647</v>
      </c>
      <c r="E98">
        <v>-0.062922147173835</v>
      </c>
      <c r="F98">
        <v>0.014626635873749</v>
      </c>
      <c r="G98">
        <v>-0.048718874052688</v>
      </c>
      <c r="H98">
        <v>-0.064252751153709</v>
      </c>
      <c r="I98">
        <v>0.10524109014675</v>
      </c>
    </row>
    <row r="99" spans="1:9">
      <c r="A99" s="1" t="s">
        <v>111</v>
      </c>
      <c r="B99">
        <f>HYPERLINK("https://www.suredividend.com/sure-analysis-research-database/","Atlantic Union Bankshares Corp")</f>
        <v>0</v>
      </c>
      <c r="C99">
        <v>-0.002205071664829</v>
      </c>
      <c r="D99">
        <v>0.179887161067634</v>
      </c>
      <c r="E99">
        <v>0.087292791128652</v>
      </c>
      <c r="F99">
        <v>0.030165054069436</v>
      </c>
      <c r="G99">
        <v>-0.08371132350558801</v>
      </c>
      <c r="H99">
        <v>0.08406927262545401</v>
      </c>
      <c r="I99">
        <v>0.027203877268999</v>
      </c>
    </row>
    <row r="100" spans="1:9">
      <c r="A100" s="1" t="s">
        <v>112</v>
      </c>
      <c r="B100">
        <f>HYPERLINK("https://www.suredividend.com/sure-analysis-research-database/","Audacy Inc")</f>
        <v>0</v>
      </c>
      <c r="C100">
        <v>-0.06902916205241701</v>
      </c>
      <c r="D100">
        <v>-0.268349289237017</v>
      </c>
      <c r="E100">
        <v>-0.71506044514744</v>
      </c>
      <c r="F100">
        <v>0.120390937361172</v>
      </c>
      <c r="G100">
        <v>-0.8974796747967481</v>
      </c>
      <c r="H100">
        <v>-0.9099285714285711</v>
      </c>
      <c r="I100">
        <v>-0.9745293689908701</v>
      </c>
    </row>
    <row r="101" spans="1:9">
      <c r="A101" s="1" t="s">
        <v>113</v>
      </c>
      <c r="B101">
        <f>HYPERLINK("https://www.suredividend.com/sure-analysis-research-database/","Aura Biosciences Inc")</f>
        <v>0</v>
      </c>
      <c r="C101">
        <v>-0.1402789171452</v>
      </c>
      <c r="D101">
        <v>-0.238925199709513</v>
      </c>
      <c r="E101">
        <v>-0.308250825082508</v>
      </c>
      <c r="F101">
        <v>-0.001904761904761</v>
      </c>
      <c r="G101">
        <v>-0.38098050797401</v>
      </c>
      <c r="H101">
        <v>-0.291891891891891</v>
      </c>
      <c r="I101">
        <v>-0.291891891891891</v>
      </c>
    </row>
    <row r="102" spans="1:9">
      <c r="A102" s="1" t="s">
        <v>114</v>
      </c>
      <c r="B102">
        <f>HYPERLINK("https://www.suredividend.com/sure-analysis-AVA/","Avista Corp.")</f>
        <v>0</v>
      </c>
      <c r="C102">
        <v>0.013640639698965</v>
      </c>
      <c r="D102">
        <v>0.192142371118622</v>
      </c>
      <c r="E102">
        <v>0.04455980650196</v>
      </c>
      <c r="F102">
        <v>-0.027965719440685</v>
      </c>
      <c r="G102">
        <v>0.045464358397795</v>
      </c>
      <c r="H102">
        <v>0.166712685496489</v>
      </c>
      <c r="I102">
        <v>0.008184776175962001</v>
      </c>
    </row>
    <row r="103" spans="1:9">
      <c r="A103" s="1" t="s">
        <v>115</v>
      </c>
      <c r="B103">
        <f>HYPERLINK("https://www.suredividend.com/sure-analysis-research-database/","Aveanna Healthcare Holdings Inc")</f>
        <v>0</v>
      </c>
      <c r="C103">
        <v>0.251923327682878</v>
      </c>
      <c r="D103">
        <v>-0.272651515151515</v>
      </c>
      <c r="E103">
        <v>-0.617490039840637</v>
      </c>
      <c r="F103">
        <v>0.230897435897435</v>
      </c>
      <c r="G103">
        <v>-0.852745398773006</v>
      </c>
      <c r="H103">
        <v>-0.916730268863833</v>
      </c>
      <c r="I103">
        <v>-0.916730268863833</v>
      </c>
    </row>
    <row r="104" spans="1:9">
      <c r="A104" s="1" t="s">
        <v>116</v>
      </c>
      <c r="B104">
        <f>HYPERLINK("https://www.suredividend.com/sure-analysis-research-database/","AeroVironment Inc.")</f>
        <v>0</v>
      </c>
      <c r="C104">
        <v>0.09253622306100001</v>
      </c>
      <c r="D104">
        <v>0.167751171264966</v>
      </c>
      <c r="E104">
        <v>0.08356478686149001</v>
      </c>
      <c r="F104">
        <v>0.047513425169273</v>
      </c>
      <c r="G104">
        <v>0.434991204221973</v>
      </c>
      <c r="H104">
        <v>-0.031934405005933</v>
      </c>
      <c r="I104">
        <v>0.6684641130531791</v>
      </c>
    </row>
    <row r="105" spans="1:9">
      <c r="A105" s="1" t="s">
        <v>117</v>
      </c>
      <c r="B105">
        <f>HYPERLINK("https://www.suredividend.com/sure-analysis-research-database/","American Vanguard Corp.")</f>
        <v>0</v>
      </c>
      <c r="C105">
        <v>-0.014847051516883</v>
      </c>
      <c r="D105">
        <v>0.06977744328566801</v>
      </c>
      <c r="E105">
        <v>0.001280761138047</v>
      </c>
      <c r="F105">
        <v>0.008291110087517001</v>
      </c>
      <c r="G105">
        <v>0.373360938578329</v>
      </c>
      <c r="H105">
        <v>0.31981164497127</v>
      </c>
      <c r="I105">
        <v>0.07575496965378201</v>
      </c>
    </row>
    <row r="106" spans="1:9">
      <c r="A106" s="1" t="s">
        <v>118</v>
      </c>
      <c r="B106">
        <f>HYPERLINK("https://www.suredividend.com/sure-analysis-research-database/","AvidXchange Holdings Inc")</f>
        <v>0</v>
      </c>
      <c r="C106">
        <v>0.10201793721973</v>
      </c>
      <c r="D106">
        <v>0.178657074340527</v>
      </c>
      <c r="E106">
        <v>0.398293029871977</v>
      </c>
      <c r="F106">
        <v>-0.011066398390341</v>
      </c>
      <c r="G106">
        <v>-0.255866767600302</v>
      </c>
      <c r="H106">
        <v>-0.605854049719326</v>
      </c>
      <c r="I106">
        <v>-0.605854049719326</v>
      </c>
    </row>
    <row r="107" spans="1:9">
      <c r="A107" s="1" t="s">
        <v>119</v>
      </c>
      <c r="B107">
        <f>HYPERLINK("https://www.suredividend.com/sure-analysis-research-database/","Avid Technology, Inc.")</f>
        <v>0</v>
      </c>
      <c r="C107">
        <v>0.031238378579397</v>
      </c>
      <c r="D107">
        <v>0.135079819893573</v>
      </c>
      <c r="E107">
        <v>-0.04838709677419301</v>
      </c>
      <c r="F107">
        <v>0.042873260624294</v>
      </c>
      <c r="G107">
        <v>-0.045110192837465</v>
      </c>
      <c r="H107">
        <v>0.6857142857142851</v>
      </c>
      <c r="I107">
        <v>4.051001821493624</v>
      </c>
    </row>
    <row r="108" spans="1:9">
      <c r="A108" s="1" t="s">
        <v>120</v>
      </c>
      <c r="B108">
        <f>HYPERLINK("https://www.suredividend.com/sure-analysis-research-database/","Atea Pharmaceuticals Inc")</f>
        <v>0</v>
      </c>
      <c r="C108">
        <v>0.06605922551252801</v>
      </c>
      <c r="D108">
        <v>-0.133333333333333</v>
      </c>
      <c r="E108">
        <v>-0.408343868520859</v>
      </c>
      <c r="F108">
        <v>-0.027027027027026</v>
      </c>
      <c r="G108">
        <v>-0.387434554973822</v>
      </c>
      <c r="H108">
        <v>-0.902621722846442</v>
      </c>
      <c r="I108">
        <v>-0.8457481872116011</v>
      </c>
    </row>
    <row r="109" spans="1:9">
      <c r="A109" s="1" t="s">
        <v>121</v>
      </c>
      <c r="B109">
        <f>HYPERLINK("https://www.suredividend.com/sure-analysis-research-database/","Avanos Medical Inc")</f>
        <v>0</v>
      </c>
      <c r="C109">
        <v>0.013899323816679</v>
      </c>
      <c r="D109">
        <v>0.287690839694656</v>
      </c>
      <c r="E109">
        <v>-0.011355311355311</v>
      </c>
      <c r="F109">
        <v>-0.002586844050258</v>
      </c>
      <c r="G109">
        <v>-0.189975990396158</v>
      </c>
      <c r="H109">
        <v>-0.4382934443288241</v>
      </c>
      <c r="I109">
        <v>-0.442930856553147</v>
      </c>
    </row>
    <row r="110" spans="1:9">
      <c r="A110" s="1" t="s">
        <v>122</v>
      </c>
      <c r="B110">
        <f>HYPERLINK("https://www.suredividend.com/sure-analysis-AVNT/","Avient Corp")</f>
        <v>0</v>
      </c>
      <c r="C110">
        <v>0.111130687056971</v>
      </c>
      <c r="D110">
        <v>0.24223602484472</v>
      </c>
      <c r="E110">
        <v>-0.021777345769652</v>
      </c>
      <c r="F110">
        <v>0.12085308056872</v>
      </c>
      <c r="G110">
        <v>-0.30870566828468</v>
      </c>
      <c r="H110">
        <v>-0.12523839796567</v>
      </c>
      <c r="I110">
        <v>-0.115540679519063</v>
      </c>
    </row>
    <row r="111" spans="1:9">
      <c r="A111" s="1" t="s">
        <v>123</v>
      </c>
      <c r="B111">
        <f>HYPERLINK("https://www.suredividend.com/sure-analysis-research-database/","Aviat Networks Inc")</f>
        <v>0</v>
      </c>
      <c r="C111">
        <v>0.004213938411669001</v>
      </c>
      <c r="D111">
        <v>0.117604617604617</v>
      </c>
      <c r="E111">
        <v>0.185610409491006</v>
      </c>
      <c r="F111">
        <v>-0.006732927220262</v>
      </c>
      <c r="G111">
        <v>-0.013375796178343</v>
      </c>
      <c r="H111">
        <v>0.8556454028152141</v>
      </c>
      <c r="I111">
        <v>2.705741626794259</v>
      </c>
    </row>
    <row r="112" spans="1:9">
      <c r="A112" s="1" t="s">
        <v>124</v>
      </c>
      <c r="B112">
        <f>HYPERLINK("https://www.suredividend.com/sure-analysis-research-database/","Mission Produce Inc")</f>
        <v>0</v>
      </c>
      <c r="C112">
        <v>-0.219933554817275</v>
      </c>
      <c r="D112">
        <v>-0.185287994448299</v>
      </c>
      <c r="E112">
        <v>-0.195890410958904</v>
      </c>
      <c r="F112">
        <v>0.010327022375215</v>
      </c>
      <c r="G112">
        <v>-0.214190093708166</v>
      </c>
      <c r="H112">
        <v>-0.252229299363057</v>
      </c>
      <c r="I112">
        <v>-0.06079999999999901</v>
      </c>
    </row>
    <row r="113" spans="1:9">
      <c r="A113" s="1" t="s">
        <v>125</v>
      </c>
      <c r="B113">
        <f>HYPERLINK("https://www.suredividend.com/sure-analysis-research-database/","AvroBio Inc")</f>
        <v>0</v>
      </c>
      <c r="C113">
        <v>0.075949367088607</v>
      </c>
      <c r="D113">
        <v>0.278195488721804</v>
      </c>
      <c r="E113">
        <v>-0.19047619047619</v>
      </c>
      <c r="F113">
        <v>0.192313087389535</v>
      </c>
      <c r="G113">
        <v>-0.5990566037735841</v>
      </c>
      <c r="H113">
        <v>-0.9436339522546421</v>
      </c>
      <c r="I113">
        <v>-0.97275641025641</v>
      </c>
    </row>
    <row r="114" spans="1:9">
      <c r="A114" s="1" t="s">
        <v>126</v>
      </c>
      <c r="B114">
        <f>HYPERLINK("https://www.suredividend.com/sure-analysis-research-database/","Aerovate Therapeutics Inc")</f>
        <v>0</v>
      </c>
      <c r="C114">
        <v>0.004437273093989</v>
      </c>
      <c r="D114">
        <v>0.5182926829268291</v>
      </c>
      <c r="E114">
        <v>0.4163822525597261</v>
      </c>
      <c r="F114">
        <v>-0.150170648464163</v>
      </c>
      <c r="G114">
        <v>1.487512487512487</v>
      </c>
      <c r="H114">
        <v>0.09067017082785801</v>
      </c>
      <c r="I114">
        <v>0.09067017082785801</v>
      </c>
    </row>
    <row r="115" spans="1:9">
      <c r="A115" s="1" t="s">
        <v>127</v>
      </c>
      <c r="B115">
        <f>HYPERLINK("https://www.suredividend.com/sure-analysis-research-database/","Avalo Therapeutics Inc")</f>
        <v>0</v>
      </c>
      <c r="C115">
        <v>-0.049999999999999</v>
      </c>
      <c r="D115">
        <v>0.199029126213592</v>
      </c>
      <c r="E115">
        <v>-0.046332046332046</v>
      </c>
      <c r="F115">
        <v>-0.019860717049264</v>
      </c>
      <c r="G115">
        <v>-0.6041666666666661</v>
      </c>
      <c r="H115">
        <v>0.9760000000000001</v>
      </c>
      <c r="I115">
        <v>0.952569169960474</v>
      </c>
    </row>
    <row r="116" spans="1:9">
      <c r="A116" s="1" t="s">
        <v>128</v>
      </c>
      <c r="B116">
        <f>HYPERLINK("https://www.suredividend.com/sure-analysis-research-database/","Anavex Life Sciences Corporation")</f>
        <v>0</v>
      </c>
      <c r="C116">
        <v>0.287581699346405</v>
      </c>
      <c r="D116">
        <v>-0.06279733587059901</v>
      </c>
      <c r="E116">
        <v>-0.229264475743348</v>
      </c>
      <c r="F116">
        <v>0.063714902807775</v>
      </c>
      <c r="G116">
        <v>-0.365743721828718</v>
      </c>
      <c r="H116">
        <v>0.746453900709219</v>
      </c>
      <c r="I116">
        <v>1.905604719764012</v>
      </c>
    </row>
    <row r="117" spans="1:9">
      <c r="A117" s="1" t="s">
        <v>129</v>
      </c>
      <c r="B117">
        <f>HYPERLINK("https://www.suredividend.com/sure-analysis-research-database/","Avaya Holdings Corp.")</f>
        <v>0</v>
      </c>
      <c r="C117">
        <v>-0.821052631578947</v>
      </c>
      <c r="D117">
        <v>-0.8327868852459011</v>
      </c>
      <c r="E117">
        <v>-0.9215384615384611</v>
      </c>
      <c r="F117">
        <v>0.04081632653061201</v>
      </c>
      <c r="G117">
        <v>-0.9891431612559871</v>
      </c>
      <c r="H117">
        <v>-0.9907524932003621</v>
      </c>
      <c r="I117">
        <v>-0.990192307692307</v>
      </c>
    </row>
    <row r="118" spans="1:9">
      <c r="A118" s="1" t="s">
        <v>130</v>
      </c>
      <c r="B118">
        <f>HYPERLINK("https://www.suredividend.com/sure-analysis-research-database/","Aspira Women`s Health Inc")</f>
        <v>0</v>
      </c>
      <c r="C118">
        <v>0.123595505617977</v>
      </c>
      <c r="D118">
        <v>0.08955620515546101</v>
      </c>
      <c r="E118">
        <v>-0.594059405940594</v>
      </c>
      <c r="F118">
        <v>0.232711966325916</v>
      </c>
      <c r="G118">
        <v>-0.71917808219178</v>
      </c>
      <c r="H118">
        <v>-0.9351265822784811</v>
      </c>
      <c r="I118">
        <v>-0.779569892473118</v>
      </c>
    </row>
    <row r="119" spans="1:9">
      <c r="A119" s="1" t="s">
        <v>131</v>
      </c>
      <c r="B119">
        <f>HYPERLINK("https://www.suredividend.com/sure-analysis-AWR/","American States Water Co.")</f>
        <v>0</v>
      </c>
      <c r="C119">
        <v>-0.036968194960759</v>
      </c>
      <c r="D119">
        <v>0.175043122293438</v>
      </c>
      <c r="E119">
        <v>0.14561861685531</v>
      </c>
      <c r="F119">
        <v>0.007671528903295001</v>
      </c>
      <c r="G119">
        <v>-0.035373433361019</v>
      </c>
      <c r="H119">
        <v>0.191767780354872</v>
      </c>
      <c r="I119">
        <v>0.816984499325888</v>
      </c>
    </row>
    <row r="120" spans="1:9">
      <c r="A120" s="1" t="s">
        <v>132</v>
      </c>
      <c r="B120">
        <f>HYPERLINK("https://www.suredividend.com/sure-analysis-research-database/","Axos Financial Inc.")</f>
        <v>0</v>
      </c>
      <c r="C120">
        <v>-0.005408189544166</v>
      </c>
      <c r="D120">
        <v>0.08361391694725001</v>
      </c>
      <c r="E120">
        <v>0.07307585440400001</v>
      </c>
      <c r="F120">
        <v>0.010465724751439</v>
      </c>
      <c r="G120">
        <v>-0.3619692714356511</v>
      </c>
      <c r="H120">
        <v>-0.05919610231425</v>
      </c>
      <c r="I120">
        <v>0.275429326287978</v>
      </c>
    </row>
    <row r="121" spans="1:9">
      <c r="A121" s="1" t="s">
        <v>133</v>
      </c>
      <c r="B121">
        <f>HYPERLINK("https://www.suredividend.com/sure-analysis-research-database/","Accelerate Diagnostics Inc")</f>
        <v>0</v>
      </c>
      <c r="C121">
        <v>-0.1516</v>
      </c>
      <c r="D121">
        <v>-0.592115384615384</v>
      </c>
      <c r="E121">
        <v>-0.456153846153846</v>
      </c>
      <c r="F121">
        <v>-0.09872521246458901</v>
      </c>
      <c r="G121">
        <v>-0.860153846153846</v>
      </c>
      <c r="H121">
        <v>-0.926777905638665</v>
      </c>
      <c r="I121">
        <v>-0.9765635359116021</v>
      </c>
    </row>
    <row r="122" spans="1:9">
      <c r="A122" s="1" t="s">
        <v>134</v>
      </c>
      <c r="B122">
        <f>HYPERLINK("https://www.suredividend.com/sure-analysis-research-database/","Axogen Inc.")</f>
        <v>0</v>
      </c>
      <c r="C122">
        <v>0.008442776735459</v>
      </c>
      <c r="D122">
        <v>-0.05035335689045901</v>
      </c>
      <c r="E122">
        <v>0.273696682464455</v>
      </c>
      <c r="F122">
        <v>0.077154308617234</v>
      </c>
      <c r="G122">
        <v>0.09247967479674801</v>
      </c>
      <c r="H122">
        <v>-0.449282786885245</v>
      </c>
      <c r="I122">
        <v>-0.616071428571428</v>
      </c>
    </row>
    <row r="123" spans="1:9">
      <c r="A123" s="1" t="s">
        <v>135</v>
      </c>
      <c r="B123">
        <f>HYPERLINK("https://www.suredividend.com/sure-analysis-research-database/","American Axle &amp; Manufacturing Holdings Inc")</f>
        <v>0</v>
      </c>
      <c r="C123">
        <v>-0.07419354838709601</v>
      </c>
      <c r="D123">
        <v>0.125490196078431</v>
      </c>
      <c r="E123">
        <v>0.16508795669824</v>
      </c>
      <c r="F123">
        <v>0.101023017902813</v>
      </c>
      <c r="G123">
        <v>-0.133802816901408</v>
      </c>
      <c r="H123">
        <v>-0.070194384449244</v>
      </c>
      <c r="I123">
        <v>-0.5405549626467451</v>
      </c>
    </row>
    <row r="124" spans="1:9">
      <c r="A124" s="1" t="s">
        <v>136</v>
      </c>
      <c r="B124">
        <f>HYPERLINK("https://www.suredividend.com/sure-analysis-research-database/","Axonics Inc")</f>
        <v>0</v>
      </c>
      <c r="C124">
        <v>-0.145894769517305</v>
      </c>
      <c r="D124">
        <v>-0.241070197214177</v>
      </c>
      <c r="E124">
        <v>-0.127892234548335</v>
      </c>
      <c r="F124">
        <v>-0.119942427634735</v>
      </c>
      <c r="G124">
        <v>0.006216858657889001</v>
      </c>
      <c r="H124">
        <v>0.06174030484275501</v>
      </c>
      <c r="I124">
        <v>2.673564753004005</v>
      </c>
    </row>
    <row r="125" spans="1:9">
      <c r="A125" s="1" t="s">
        <v>137</v>
      </c>
      <c r="B125">
        <f>HYPERLINK("https://www.suredividend.com/sure-analysis-research-database/","Axsome Therapeutics Inc")</f>
        <v>0</v>
      </c>
      <c r="C125">
        <v>-0.154154421586962</v>
      </c>
      <c r="D125">
        <v>0.381929288520296</v>
      </c>
      <c r="E125">
        <v>0.3885964912280701</v>
      </c>
      <c r="F125">
        <v>-0.179048359911837</v>
      </c>
      <c r="G125">
        <v>0.924035247645092</v>
      </c>
      <c r="H125">
        <v>-0.185175653069103</v>
      </c>
      <c r="I125">
        <v>16.83661971830986</v>
      </c>
    </row>
    <row r="126" spans="1:9">
      <c r="A126" s="1" t="s">
        <v>138</v>
      </c>
      <c r="B126">
        <f>HYPERLINK("https://www.suredividend.com/sure-analysis-research-database/","AXT Inc")</f>
        <v>0</v>
      </c>
      <c r="C126">
        <v>-0.014084507042253</v>
      </c>
      <c r="D126">
        <v>-0.044834307992202</v>
      </c>
      <c r="E126">
        <v>-0.187396351575456</v>
      </c>
      <c r="F126">
        <v>0.118721461187214</v>
      </c>
      <c r="G126">
        <v>-0.4173602853745541</v>
      </c>
      <c r="H126">
        <v>-0.5621090259159961</v>
      </c>
      <c r="I126">
        <v>-0.4525139664804461</v>
      </c>
    </row>
    <row r="127" spans="1:9">
      <c r="A127" s="1" t="s">
        <v>139</v>
      </c>
      <c r="B127">
        <f>HYPERLINK("https://www.suredividend.com/sure-analysis-research-database/","AZZ Inc")</f>
        <v>0</v>
      </c>
      <c r="C127">
        <v>0.0320293398533</v>
      </c>
      <c r="D127">
        <v>0.104733788208321</v>
      </c>
      <c r="E127">
        <v>0.038373829338673</v>
      </c>
      <c r="F127">
        <v>0.05</v>
      </c>
      <c r="G127">
        <v>-0.2194477884354</v>
      </c>
      <c r="H127">
        <v>-0.119849367254893</v>
      </c>
      <c r="I127">
        <v>-0.037608727869674</v>
      </c>
    </row>
    <row r="128" spans="1:9">
      <c r="A128" s="1" t="s">
        <v>140</v>
      </c>
      <c r="B128">
        <f>HYPERLINK("https://www.suredividend.com/sure-analysis-research-database/","Barnes Group Inc.")</f>
        <v>0</v>
      </c>
      <c r="C128">
        <v>0.06938877755511001</v>
      </c>
      <c r="D128">
        <v>0.36251783337642</v>
      </c>
      <c r="E128">
        <v>0.40081574793848</v>
      </c>
      <c r="F128">
        <v>0.045042839657282</v>
      </c>
      <c r="G128">
        <v>-0.09418636972218701</v>
      </c>
      <c r="H128">
        <v>-0.171640574670713</v>
      </c>
      <c r="I128">
        <v>-0.30939986217116</v>
      </c>
    </row>
    <row r="129" spans="1:9">
      <c r="A129" s="1" t="s">
        <v>141</v>
      </c>
      <c r="B129">
        <f>HYPERLINK("https://www.suredividend.com/sure-analysis-research-database/","Ballys Corporation")</f>
        <v>0</v>
      </c>
      <c r="C129">
        <v>-0.12781954887218</v>
      </c>
      <c r="D129">
        <v>-0.06318289786223201</v>
      </c>
      <c r="E129">
        <v>-0.024727992087042</v>
      </c>
      <c r="F129">
        <v>0.017543859649122</v>
      </c>
      <c r="G129">
        <v>-0.4651478166531051</v>
      </c>
      <c r="H129">
        <v>-0.583614864864864</v>
      </c>
      <c r="I129">
        <v>-0.333709501397115</v>
      </c>
    </row>
    <row r="130" spans="1:9">
      <c r="A130" s="1" t="s">
        <v>142</v>
      </c>
      <c r="B130">
        <f>HYPERLINK("https://www.suredividend.com/sure-analysis-research-database/","Banc of California Inc")</f>
        <v>0</v>
      </c>
      <c r="C130">
        <v>0.059994823134276</v>
      </c>
      <c r="D130">
        <v>0.03525030366931101</v>
      </c>
      <c r="E130">
        <v>-0.07120057973900601</v>
      </c>
      <c r="F130">
        <v>0.053986189579409</v>
      </c>
      <c r="G130">
        <v>-0.197280602780593</v>
      </c>
      <c r="H130">
        <v>0.014250246162582</v>
      </c>
      <c r="I130">
        <v>-0.119102208278025</v>
      </c>
    </row>
    <row r="131" spans="1:9">
      <c r="A131" s="1" t="s">
        <v>143</v>
      </c>
      <c r="B131">
        <f>HYPERLINK("https://www.suredividend.com/sure-analysis-research-database/","Bandwidth Inc")</f>
        <v>0</v>
      </c>
      <c r="C131">
        <v>-0.113344051446945</v>
      </c>
      <c r="D131">
        <v>0.8600337268128161</v>
      </c>
      <c r="E131">
        <v>0.128966223132036</v>
      </c>
      <c r="F131">
        <v>-0.038779956427015</v>
      </c>
      <c r="G131">
        <v>-0.648726114649681</v>
      </c>
      <c r="H131">
        <v>-0.858653168450054</v>
      </c>
      <c r="I131">
        <v>-0.05321888412017101</v>
      </c>
    </row>
    <row r="132" spans="1:9">
      <c r="A132" s="1" t="s">
        <v>144</v>
      </c>
      <c r="B132">
        <f>HYPERLINK("https://www.suredividend.com/sure-analysis-BANF/","Bancfirst Corp.")</f>
        <v>0</v>
      </c>
      <c r="C132">
        <v>-0.09387628393757801</v>
      </c>
      <c r="D132">
        <v>-0.06778856622799401</v>
      </c>
      <c r="E132">
        <v>-0.156453263893309</v>
      </c>
      <c r="F132">
        <v>-0.05330006804264</v>
      </c>
      <c r="G132">
        <v>0.143342372695647</v>
      </c>
      <c r="H132">
        <v>0.388177543052128</v>
      </c>
      <c r="I132">
        <v>0.760412646797706</v>
      </c>
    </row>
    <row r="133" spans="1:9">
      <c r="A133" s="1" t="s">
        <v>145</v>
      </c>
      <c r="B133">
        <f>HYPERLINK("https://www.suredividend.com/sure-analysis-research-database/","Banner Corp.")</f>
        <v>0</v>
      </c>
      <c r="C133">
        <v>-0.05427880254006601</v>
      </c>
      <c r="D133">
        <v>0.030231658005912</v>
      </c>
      <c r="E133">
        <v>0.104105401025908</v>
      </c>
      <c r="F133">
        <v>-0.010284810126582</v>
      </c>
      <c r="G133">
        <v>-0.008174041274547001</v>
      </c>
      <c r="H133">
        <v>0.317305242053521</v>
      </c>
      <c r="I133">
        <v>0.289416886723025</v>
      </c>
    </row>
    <row r="134" spans="1:9">
      <c r="A134" s="1" t="s">
        <v>146</v>
      </c>
      <c r="B134">
        <f>HYPERLINK("https://www.suredividend.com/sure-analysis-research-database/","Couchbase Inc")</f>
        <v>0</v>
      </c>
      <c r="C134">
        <v>-0.05108467459762001</v>
      </c>
      <c r="D134">
        <v>-0.069958847736625</v>
      </c>
      <c r="E134">
        <v>-0.244147157190635</v>
      </c>
      <c r="F134">
        <v>0.02262443438914</v>
      </c>
      <c r="G134">
        <v>-0.383356070941336</v>
      </c>
      <c r="H134">
        <v>-0.5539473684210521</v>
      </c>
      <c r="I134">
        <v>-0.5539473684210521</v>
      </c>
    </row>
    <row r="135" spans="1:9">
      <c r="A135" s="1" t="s">
        <v>147</v>
      </c>
      <c r="B135">
        <f>HYPERLINK("https://www.suredividend.com/sure-analysis-research-database/","Liberty Media Corp.")</f>
        <v>0</v>
      </c>
      <c r="C135">
        <v>0.037408759124087</v>
      </c>
      <c r="D135">
        <v>0.184375</v>
      </c>
      <c r="E135">
        <v>0.298439284354777</v>
      </c>
      <c r="F135">
        <v>0.044077134986225</v>
      </c>
      <c r="G135">
        <v>0.216042780748663</v>
      </c>
      <c r="H135">
        <v>0.299428571428571</v>
      </c>
      <c r="I135">
        <v>0.576247689463955</v>
      </c>
    </row>
    <row r="136" spans="1:9">
      <c r="A136" s="1" t="s">
        <v>148</v>
      </c>
      <c r="B136">
        <f>HYPERLINK("https://www.suredividend.com/sure-analysis-research-database/","Liberty Media Corp.")</f>
        <v>0</v>
      </c>
      <c r="C136">
        <v>0.033835742848354</v>
      </c>
      <c r="D136">
        <v>0.190577399929153</v>
      </c>
      <c r="E136">
        <v>0.337445284520493</v>
      </c>
      <c r="F136">
        <v>0.042817251008377</v>
      </c>
      <c r="G136">
        <v>0.222626409603492</v>
      </c>
      <c r="H136">
        <v>0.293687451886066</v>
      </c>
      <c r="I136">
        <v>0.5410362219165521</v>
      </c>
    </row>
    <row r="137" spans="1:9">
      <c r="A137" s="1" t="s">
        <v>149</v>
      </c>
      <c r="B137">
        <f>HYPERLINK("https://www.suredividend.com/sure-analysis-research-database/","Bed, Bath &amp; Beyond Inc.")</f>
        <v>0</v>
      </c>
      <c r="C137">
        <v>-0.474025974025974</v>
      </c>
      <c r="D137">
        <v>-0.7011070110701101</v>
      </c>
      <c r="E137">
        <v>-0.68172888015717</v>
      </c>
      <c r="F137">
        <v>-0.354581673306772</v>
      </c>
      <c r="G137">
        <v>-0.882608695652173</v>
      </c>
      <c r="H137">
        <v>-0.9144667370644141</v>
      </c>
      <c r="I137">
        <v>-0.915351656390427</v>
      </c>
    </row>
    <row r="138" spans="1:9">
      <c r="A138" s="1" t="s">
        <v>150</v>
      </c>
      <c r="B138">
        <f>HYPERLINK("https://www.suredividend.com/sure-analysis-research-database/","Concrete Pumping Holdings Inc")</f>
        <v>0</v>
      </c>
      <c r="C138">
        <v>-0.091185410334346</v>
      </c>
      <c r="D138">
        <v>-0.07286821705426301</v>
      </c>
      <c r="E138">
        <v>-0.04777070063694201</v>
      </c>
      <c r="F138">
        <v>0.022222222222222</v>
      </c>
      <c r="G138">
        <v>-0.296470588235294</v>
      </c>
      <c r="H138">
        <v>0.359090909090909</v>
      </c>
      <c r="I138">
        <v>-0.385973919293562</v>
      </c>
    </row>
    <row r="139" spans="1:9">
      <c r="A139" s="1" t="s">
        <v>151</v>
      </c>
      <c r="B139">
        <f>HYPERLINK("https://www.suredividend.com/sure-analysis-research-database/","BridgeBio Pharma Inc")</f>
        <v>0</v>
      </c>
      <c r="C139">
        <v>-0.161979752530933</v>
      </c>
      <c r="D139">
        <v>-0.284341978866474</v>
      </c>
      <c r="E139">
        <v>-0.260912698412698</v>
      </c>
      <c r="F139">
        <v>-0.022309711286089</v>
      </c>
      <c r="G139">
        <v>-0.491467576791808</v>
      </c>
      <c r="H139">
        <v>-0.8862769042894211</v>
      </c>
      <c r="I139">
        <v>-0.7295825771324861</v>
      </c>
    </row>
    <row r="140" spans="1:9">
      <c r="A140" s="1" t="s">
        <v>152</v>
      </c>
      <c r="B140">
        <f>HYPERLINK("https://www.suredividend.com/sure-analysis-research-database/","Barrett Business Services Inc.")</f>
        <v>0</v>
      </c>
      <c r="C140">
        <v>-0.004603854389721</v>
      </c>
      <c r="D140">
        <v>0.18355775143123</v>
      </c>
      <c r="E140">
        <v>0.24757617031555</v>
      </c>
      <c r="F140">
        <v>-0.00332332761578</v>
      </c>
      <c r="G140">
        <v>0.406869250592816</v>
      </c>
      <c r="H140">
        <v>0.366042737139993</v>
      </c>
      <c r="I140">
        <v>0.5951916048687911</v>
      </c>
    </row>
    <row r="141" spans="1:9">
      <c r="A141" s="1" t="s">
        <v>153</v>
      </c>
      <c r="B141">
        <f>HYPERLINK("https://www.suredividend.com/sure-analysis-research-database/","BioAtla Inc")</f>
        <v>0</v>
      </c>
      <c r="C141">
        <v>-0.188222923238696</v>
      </c>
      <c r="D141">
        <v>-0.06196840826245401</v>
      </c>
      <c r="E141">
        <v>0.9445843828715361</v>
      </c>
      <c r="F141">
        <v>-0.064242424242424</v>
      </c>
      <c r="G141">
        <v>-0.5210918114143921</v>
      </c>
      <c r="H141">
        <v>-0.7981699346405221</v>
      </c>
      <c r="I141">
        <v>-0.751128304319793</v>
      </c>
    </row>
    <row r="142" spans="1:9">
      <c r="A142" s="1" t="s">
        <v>154</v>
      </c>
      <c r="B142">
        <f>HYPERLINK("https://www.suredividend.com/sure-analysis-research-database/","Boise Cascade Co")</f>
        <v>0</v>
      </c>
      <c r="C142">
        <v>-0.06370494551550701</v>
      </c>
      <c r="D142">
        <v>0.08791460308648201</v>
      </c>
      <c r="E142">
        <v>0.102275437283619</v>
      </c>
      <c r="F142">
        <v>-0.024027959807776</v>
      </c>
      <c r="G142">
        <v>-0.023877284100938</v>
      </c>
      <c r="H142">
        <v>0.431387583107832</v>
      </c>
      <c r="I142">
        <v>0.8068050392121441</v>
      </c>
    </row>
    <row r="143" spans="1:9">
      <c r="A143" s="1" t="s">
        <v>155</v>
      </c>
      <c r="B143">
        <f>HYPERLINK("https://www.suredividend.com/sure-analysis-research-database/","Atreca Inc")</f>
        <v>0</v>
      </c>
      <c r="C143">
        <v>0.505825456144207</v>
      </c>
      <c r="D143">
        <v>-0.179640718562874</v>
      </c>
      <c r="E143">
        <v>-0.4689922480620151</v>
      </c>
      <c r="F143">
        <v>0.71121658755933</v>
      </c>
      <c r="G143">
        <v>-0.479087452471482</v>
      </c>
      <c r="H143">
        <v>-0.910398953564421</v>
      </c>
      <c r="I143">
        <v>-0.9240997229916891</v>
      </c>
    </row>
    <row r="144" spans="1:9">
      <c r="A144" s="1" t="s">
        <v>156</v>
      </c>
      <c r="B144">
        <f>HYPERLINK("https://www.suredividend.com/sure-analysis-research-database/","Brink`s Co.")</f>
        <v>0</v>
      </c>
      <c r="C144">
        <v>0.025730180806675</v>
      </c>
      <c r="D144">
        <v>0.056507008760054</v>
      </c>
      <c r="E144">
        <v>-0.000792591639174</v>
      </c>
      <c r="F144">
        <v>0.09849190094954301</v>
      </c>
      <c r="G144">
        <v>-0.123449508463169</v>
      </c>
      <c r="H144">
        <v>-0.148663546061631</v>
      </c>
      <c r="I144">
        <v>-0.222160258717408</v>
      </c>
    </row>
    <row r="145" spans="1:9">
      <c r="A145" s="1" t="s">
        <v>157</v>
      </c>
      <c r="B145">
        <f>HYPERLINK("https://www.suredividend.com/sure-analysis-research-database/","Blucora Inc")</f>
        <v>0</v>
      </c>
      <c r="C145">
        <v>0.134831460674157</v>
      </c>
      <c r="D145">
        <v>0.289150711831124</v>
      </c>
      <c r="E145">
        <v>0.4334061135371171</v>
      </c>
      <c r="F145">
        <v>0.028593811202506</v>
      </c>
      <c r="G145">
        <v>0.5456150676868751</v>
      </c>
      <c r="H145">
        <v>0.63613707165109</v>
      </c>
      <c r="I145">
        <v>0.154285714285714</v>
      </c>
    </row>
    <row r="146" spans="1:9">
      <c r="A146" s="1" t="s">
        <v>158</v>
      </c>
      <c r="B146">
        <f>HYPERLINK("https://www.suredividend.com/sure-analysis-research-database/","Brightcove Inc")</f>
        <v>0</v>
      </c>
      <c r="C146">
        <v>0.062135922330097</v>
      </c>
      <c r="D146">
        <v>-0.1453125</v>
      </c>
      <c r="E146">
        <v>-0.159754224270353</v>
      </c>
      <c r="F146">
        <v>0.04588910133843101</v>
      </c>
      <c r="G146">
        <v>-0.451354062186559</v>
      </c>
      <c r="H146">
        <v>-0.699285321605277</v>
      </c>
      <c r="I146">
        <v>-0.221352313167259</v>
      </c>
    </row>
    <row r="147" spans="1:9">
      <c r="A147" s="1" t="s">
        <v>159</v>
      </c>
      <c r="B147">
        <f>HYPERLINK("https://www.suredividend.com/sure-analysis-research-database/","Balchem Corp.")</f>
        <v>0</v>
      </c>
      <c r="C147">
        <v>-0.04383584893110901</v>
      </c>
      <c r="D147">
        <v>0.03167617889646</v>
      </c>
      <c r="E147">
        <v>-0.034960405367555</v>
      </c>
      <c r="F147">
        <v>0.024240438948488</v>
      </c>
      <c r="G147">
        <v>-0.208490360061893</v>
      </c>
      <c r="H147">
        <v>-0.027079503792655</v>
      </c>
      <c r="I147">
        <v>0.6032601032178</v>
      </c>
    </row>
    <row r="148" spans="1:9">
      <c r="A148" s="1" t="s">
        <v>160</v>
      </c>
      <c r="B148">
        <f>HYPERLINK("https://www.suredividend.com/sure-analysis-research-database/","Biocryst Pharmaceuticals Inc.")</f>
        <v>0</v>
      </c>
      <c r="C148">
        <v>0.012380952380952</v>
      </c>
      <c r="D148">
        <v>-0.221815519765739</v>
      </c>
      <c r="E148">
        <v>-0.120033112582781</v>
      </c>
      <c r="F148">
        <v>-0.07404181184668901</v>
      </c>
      <c r="G148">
        <v>-0.080449826989619</v>
      </c>
      <c r="H148">
        <v>0.373385012919896</v>
      </c>
      <c r="I148">
        <v>0.943327239488117</v>
      </c>
    </row>
    <row r="149" spans="1:9">
      <c r="A149" s="1" t="s">
        <v>161</v>
      </c>
      <c r="B149">
        <f>HYPERLINK("https://www.suredividend.com/sure-analysis-research-database/","Belden Inc")</f>
        <v>0</v>
      </c>
      <c r="C149">
        <v>0.006332934436125001</v>
      </c>
      <c r="D149">
        <v>0.19755573864236</v>
      </c>
      <c r="E149">
        <v>0.349049170553035</v>
      </c>
      <c r="F149">
        <v>0.057301808066759</v>
      </c>
      <c r="G149">
        <v>0.245217003878813</v>
      </c>
      <c r="H149">
        <v>0.7502296572064011</v>
      </c>
      <c r="I149">
        <v>-0.064743333435856</v>
      </c>
    </row>
    <row r="150" spans="1:9">
      <c r="A150" s="1" t="s">
        <v>162</v>
      </c>
      <c r="B150">
        <f>HYPERLINK("https://www.suredividend.com/sure-analysis-BDN/","Brandywine Realty Trust")</f>
        <v>0</v>
      </c>
      <c r="C150">
        <v>-0.019511716834983</v>
      </c>
      <c r="D150">
        <v>0.007641279704425001</v>
      </c>
      <c r="E150">
        <v>-0.311429128843086</v>
      </c>
      <c r="F150">
        <v>0.006002481472787</v>
      </c>
      <c r="G150">
        <v>-0.5613554117776071</v>
      </c>
      <c r="H150">
        <v>-0.411533934876422</v>
      </c>
      <c r="I150">
        <v>-0.5488721804511271</v>
      </c>
    </row>
    <row r="151" spans="1:9">
      <c r="A151" s="1" t="s">
        <v>163</v>
      </c>
      <c r="B151">
        <f>HYPERLINK("https://www.suredividend.com/sure-analysis-research-database/","Biodesix Inc")</f>
        <v>0</v>
      </c>
      <c r="C151">
        <v>0.6928571428571431</v>
      </c>
      <c r="D151">
        <v>0.7299270072992701</v>
      </c>
      <c r="E151">
        <v>0.302197802197802</v>
      </c>
      <c r="F151">
        <v>0.030434782608695</v>
      </c>
      <c r="G151">
        <v>-0.561111111111111</v>
      </c>
      <c r="H151">
        <v>-0.8881547899952801</v>
      </c>
      <c r="I151">
        <v>-0.814988290398126</v>
      </c>
    </row>
    <row r="152" spans="1:9">
      <c r="A152" s="1" t="s">
        <v>164</v>
      </c>
      <c r="B152">
        <f>HYPERLINK("https://www.suredividend.com/sure-analysis-research-database/","Black Diamond Therapeutics Inc")</f>
        <v>0</v>
      </c>
      <c r="C152">
        <v>0.3836477987421381</v>
      </c>
      <c r="D152">
        <v>0.428571428571428</v>
      </c>
      <c r="E152">
        <v>-0.261744966442953</v>
      </c>
      <c r="F152">
        <v>0.222222222222222</v>
      </c>
      <c r="G152">
        <v>-0.568627450980392</v>
      </c>
      <c r="H152">
        <v>-0.935502785107006</v>
      </c>
      <c r="I152">
        <v>-0.9442755825734541</v>
      </c>
    </row>
    <row r="153" spans="1:9">
      <c r="A153" s="1" t="s">
        <v>165</v>
      </c>
      <c r="B153">
        <f>HYPERLINK("https://www.suredividend.com/sure-analysis-research-database/","Bloom Energy Corp")</f>
        <v>0</v>
      </c>
      <c r="C153">
        <v>-0.028334147532975</v>
      </c>
      <c r="D153">
        <v>0.109313998884551</v>
      </c>
      <c r="E153">
        <v>0.05238095238095201</v>
      </c>
      <c r="F153">
        <v>0.040271966527196</v>
      </c>
      <c r="G153">
        <v>0.033246753246753</v>
      </c>
      <c r="H153">
        <v>-0.428283989652198</v>
      </c>
      <c r="I153">
        <v>-0.2044</v>
      </c>
    </row>
    <row r="154" spans="1:9">
      <c r="A154" s="1" t="s">
        <v>166</v>
      </c>
      <c r="B154">
        <f>HYPERLINK("https://www.suredividend.com/sure-analysis-research-database/","Beam Therapeutics Inc")</f>
        <v>0</v>
      </c>
      <c r="C154">
        <v>-0.081671415004748</v>
      </c>
      <c r="D154">
        <v>-0.189947643979057</v>
      </c>
      <c r="E154">
        <v>-0.25629686598731</v>
      </c>
      <c r="F154">
        <v>-0.010994630529276</v>
      </c>
      <c r="G154">
        <v>-0.4502558271745301</v>
      </c>
      <c r="H154">
        <v>-0.619553457263696</v>
      </c>
      <c r="I154">
        <v>1.062933333333333</v>
      </c>
    </row>
    <row r="155" spans="1:9">
      <c r="A155" s="1" t="s">
        <v>167</v>
      </c>
      <c r="B155">
        <f>HYPERLINK("https://www.suredividend.com/sure-analysis-research-database/","Beacon Roofing Supply Inc")</f>
        <v>0</v>
      </c>
      <c r="C155">
        <v>-0.08775862068965501</v>
      </c>
      <c r="D155">
        <v>-0.09151785714285701</v>
      </c>
      <c r="E155">
        <v>-0.042526239594643</v>
      </c>
      <c r="F155">
        <v>0.002273157795036</v>
      </c>
      <c r="G155">
        <v>-0.031484532308255</v>
      </c>
      <c r="H155">
        <v>0.25349443259891</v>
      </c>
      <c r="I155">
        <v>-0.170169385194479</v>
      </c>
    </row>
    <row r="156" spans="1:9">
      <c r="A156" s="1" t="s">
        <v>168</v>
      </c>
      <c r="B156">
        <f>HYPERLINK("https://www.suredividend.com/sure-analysis-research-database/","Beam Global")</f>
        <v>0</v>
      </c>
      <c r="C156">
        <v>-0.158984981874676</v>
      </c>
      <c r="D156">
        <v>0.333333333333333</v>
      </c>
      <c r="E156">
        <v>0.134078212290502</v>
      </c>
      <c r="F156">
        <v>-0.07040641099026901</v>
      </c>
      <c r="G156">
        <v>0.003088326127238</v>
      </c>
      <c r="H156">
        <v>-0.76833095577746</v>
      </c>
      <c r="I156">
        <v>0.7556756756756751</v>
      </c>
    </row>
    <row r="157" spans="1:9">
      <c r="A157" s="1" t="s">
        <v>169</v>
      </c>
      <c r="B157">
        <f>HYPERLINK("https://www.suredividend.com/sure-analysis-research-database/","Bank First Corp")</f>
        <v>0</v>
      </c>
      <c r="C157">
        <v>-0.095041964158199</v>
      </c>
      <c r="D157">
        <v>0.143411848228245</v>
      </c>
      <c r="E157">
        <v>0.135027921346919</v>
      </c>
      <c r="F157">
        <v>-0.064748976513682</v>
      </c>
      <c r="G157">
        <v>0.198814580767042</v>
      </c>
      <c r="H157">
        <v>0.289727346201388</v>
      </c>
      <c r="I157">
        <v>3.193719806763285</v>
      </c>
    </row>
    <row r="158" spans="1:9">
      <c r="A158" s="1" t="s">
        <v>170</v>
      </c>
      <c r="B158">
        <f>HYPERLINK("https://www.suredividend.com/sure-analysis-research-database/","Butterfly Network Inc")</f>
        <v>0</v>
      </c>
      <c r="C158">
        <v>-0.158671586715867</v>
      </c>
      <c r="D158">
        <v>-0.510729613733905</v>
      </c>
      <c r="E158">
        <v>-0.390374331550802</v>
      </c>
      <c r="F158">
        <v>-0.073170731707317</v>
      </c>
      <c r="G158">
        <v>-0.624382207578253</v>
      </c>
      <c r="H158">
        <v>-0.8879606879606871</v>
      </c>
      <c r="I158">
        <v>-0.7696969696969691</v>
      </c>
    </row>
    <row r="159" spans="1:9">
      <c r="A159" s="1" t="s">
        <v>171</v>
      </c>
      <c r="B159">
        <f>HYPERLINK("https://www.suredividend.com/sure-analysis-BFS/","Saul Centers, Inc.")</f>
        <v>0</v>
      </c>
      <c r="C159">
        <v>-0.045685279187817</v>
      </c>
      <c r="D159">
        <v>0.099767399752078</v>
      </c>
      <c r="E159">
        <v>-0.149427565613433</v>
      </c>
      <c r="F159">
        <v>-0.029498525073746</v>
      </c>
      <c r="G159">
        <v>-0.228306378786635</v>
      </c>
      <c r="H159">
        <v>0.347633449163361</v>
      </c>
      <c r="I159">
        <v>-0.134102289101927</v>
      </c>
    </row>
    <row r="160" spans="1:9">
      <c r="A160" s="1" t="s">
        <v>172</v>
      </c>
      <c r="B160">
        <f>HYPERLINK("https://www.suredividend.com/sure-analysis-research-database/","Business First Bancshares Inc.")</f>
        <v>0</v>
      </c>
      <c r="C160">
        <v>-0.100343053173241</v>
      </c>
      <c r="D160">
        <v>-0.030082244217709</v>
      </c>
      <c r="E160">
        <v>-0.013935562710032</v>
      </c>
      <c r="F160">
        <v>-0.05239385727190601</v>
      </c>
      <c r="G160">
        <v>-0.26808676904614</v>
      </c>
      <c r="H160">
        <v>0.022651387013594</v>
      </c>
      <c r="I160">
        <v>-0.09247419737172201</v>
      </c>
    </row>
    <row r="161" spans="1:9">
      <c r="A161" s="1" t="s">
        <v>173</v>
      </c>
      <c r="B161">
        <f>HYPERLINK("https://www.suredividend.com/sure-analysis-research-database/","BGC Partners Inc")</f>
        <v>0</v>
      </c>
      <c r="C161">
        <v>-0.09576837416481</v>
      </c>
      <c r="D161">
        <v>0.05175897621884801</v>
      </c>
      <c r="E161">
        <v>0.08515528946383601</v>
      </c>
      <c r="F161">
        <v>0.07692307692307601</v>
      </c>
      <c r="G161">
        <v>-0.106297739329503</v>
      </c>
      <c r="H161">
        <v>0.04166666666666601</v>
      </c>
      <c r="I161">
        <v>-0.459761549925484</v>
      </c>
    </row>
    <row r="162" spans="1:9">
      <c r="A162" s="1" t="s">
        <v>174</v>
      </c>
      <c r="B162">
        <f>HYPERLINK("https://www.suredividend.com/sure-analysis-research-database/","Big 5 Sporting Goods Corp")</f>
        <v>0</v>
      </c>
      <c r="C162">
        <v>-0.165311653116531</v>
      </c>
      <c r="D162">
        <v>-0.130966376675288</v>
      </c>
      <c r="E162">
        <v>-0.199598066561563</v>
      </c>
      <c r="F162">
        <v>0.04643261608154001</v>
      </c>
      <c r="G162">
        <v>-0.4877083264029801</v>
      </c>
      <c r="H162">
        <v>-0.11667702308685</v>
      </c>
      <c r="I162">
        <v>1.013861645089577</v>
      </c>
    </row>
    <row r="163" spans="1:9">
      <c r="A163" s="1" t="s">
        <v>175</v>
      </c>
      <c r="B163">
        <f>HYPERLINK("https://www.suredividend.com/sure-analysis-BGS/","B&amp;G Foods, Inc")</f>
        <v>0</v>
      </c>
      <c r="C163">
        <v>0.005701421684978</v>
      </c>
      <c r="D163">
        <v>-0.157752366900282</v>
      </c>
      <c r="E163">
        <v>-0.4464397952770041</v>
      </c>
      <c r="F163">
        <v>0.105829596412555</v>
      </c>
      <c r="G163">
        <v>-0.604083113647091</v>
      </c>
      <c r="H163">
        <v>-0.486711959236687</v>
      </c>
      <c r="I163">
        <v>-0.4880631098193891</v>
      </c>
    </row>
    <row r="164" spans="1:9">
      <c r="A164" s="1" t="s">
        <v>176</v>
      </c>
      <c r="B164">
        <f>HYPERLINK("https://www.suredividend.com/sure-analysis-research-database/","Biglari Holdings Inc.")</f>
        <v>0</v>
      </c>
      <c r="C164">
        <v>0.004230714990833001</v>
      </c>
      <c r="D164">
        <v>0.136360009574722</v>
      </c>
      <c r="E164">
        <v>0.161285061969993</v>
      </c>
      <c r="F164">
        <v>0.026080691642651</v>
      </c>
      <c r="G164">
        <v>0.058806036725894</v>
      </c>
      <c r="H164">
        <v>0.317118283547581</v>
      </c>
      <c r="I164">
        <v>-0.5698710398357041</v>
      </c>
    </row>
    <row r="165" spans="1:9">
      <c r="A165" s="1" t="s">
        <v>177</v>
      </c>
      <c r="B165">
        <f>HYPERLINK("https://www.suredividend.com/sure-analysis-BHB/","Bar Harbor Bankshares Inc")</f>
        <v>0</v>
      </c>
      <c r="C165">
        <v>0.039947609692207</v>
      </c>
      <c r="D165">
        <v>0.184827051063956</v>
      </c>
      <c r="E165">
        <v>0.229663700916053</v>
      </c>
      <c r="F165">
        <v>-0.008739076154806001</v>
      </c>
      <c r="G165">
        <v>0.05377714073366201</v>
      </c>
      <c r="H165">
        <v>0.433575271729318</v>
      </c>
      <c r="I165">
        <v>0.38585865638036</v>
      </c>
    </row>
    <row r="166" spans="1:9">
      <c r="A166" s="1" t="s">
        <v>178</v>
      </c>
      <c r="B166">
        <f>HYPERLINK("https://www.suredividend.com/sure-analysis-research-database/","Benchmark Electronics Inc.")</f>
        <v>0</v>
      </c>
      <c r="C166">
        <v>0.004909619190254001</v>
      </c>
      <c r="D166">
        <v>0.086323505431617</v>
      </c>
      <c r="E166">
        <v>0.280678146083358</v>
      </c>
      <c r="F166">
        <v>0.04833270887973001</v>
      </c>
      <c r="G166">
        <v>0.06609970585097401</v>
      </c>
      <c r="H166">
        <v>0.014735055505789</v>
      </c>
      <c r="I166">
        <v>0.044540428343705</v>
      </c>
    </row>
    <row r="167" spans="1:9">
      <c r="A167" s="1" t="s">
        <v>179</v>
      </c>
      <c r="B167">
        <f>HYPERLINK("https://www.suredividend.com/sure-analysis-research-database/","Bright Health Group Inc")</f>
        <v>0</v>
      </c>
      <c r="C167">
        <v>-0.208566561207106</v>
      </c>
      <c r="D167">
        <v>-0.356039603960396</v>
      </c>
      <c r="E167">
        <v>-0.6811764705882351</v>
      </c>
      <c r="F167">
        <v>0.000769349130635</v>
      </c>
      <c r="G167">
        <v>-0.7795254237288131</v>
      </c>
      <c r="H167">
        <v>-0.960913461538461</v>
      </c>
      <c r="I167">
        <v>-0.960913461538461</v>
      </c>
    </row>
    <row r="168" spans="1:9">
      <c r="A168" s="1" t="s">
        <v>180</v>
      </c>
      <c r="B168">
        <f>HYPERLINK("https://www.suredividend.com/sure-analysis-research-database/","Berkshire Hills Bancorp Inc.")</f>
        <v>0</v>
      </c>
      <c r="C168">
        <v>-0.007543456871105</v>
      </c>
      <c r="D168">
        <v>0.093322638571237</v>
      </c>
      <c r="E168">
        <v>0.214334443597255</v>
      </c>
      <c r="F168">
        <v>0.012040133779264</v>
      </c>
      <c r="G168">
        <v>0.010512536232851</v>
      </c>
      <c r="H168">
        <v>0.6227028244467201</v>
      </c>
      <c r="I168">
        <v>-0.06657371476516201</v>
      </c>
    </row>
    <row r="169" spans="1:9">
      <c r="A169" s="1" t="s">
        <v>181</v>
      </c>
      <c r="B169">
        <f>HYPERLINK("https://www.suredividend.com/sure-analysis-research-database/","Braemar Hotels &amp; Resorts Inc")</f>
        <v>0</v>
      </c>
      <c r="C169">
        <v>0.146500157414209</v>
      </c>
      <c r="D169">
        <v>0.015004413062665</v>
      </c>
      <c r="E169">
        <v>-0.009945852873875</v>
      </c>
      <c r="F169">
        <v>0.06326034063260301</v>
      </c>
      <c r="G169">
        <v>-0.163123827032823</v>
      </c>
      <c r="H169">
        <v>-0.074387867491315</v>
      </c>
      <c r="I169">
        <v>-0.5374584559368311</v>
      </c>
    </row>
    <row r="170" spans="1:9">
      <c r="A170" s="1" t="s">
        <v>182</v>
      </c>
      <c r="B170">
        <f>HYPERLINK("https://www.suredividend.com/sure-analysis-research-database/","Biohaven Ltd")</f>
        <v>0</v>
      </c>
      <c r="C170">
        <v>-0.031108230719377</v>
      </c>
      <c r="D170">
        <v>0.159813809154383</v>
      </c>
      <c r="E170">
        <v>1.047945205479452</v>
      </c>
      <c r="F170">
        <v>0.077089337175792</v>
      </c>
      <c r="G170">
        <v>1.047945205479452</v>
      </c>
      <c r="H170">
        <v>1.047945205479452</v>
      </c>
      <c r="I170">
        <v>1.047945205479452</v>
      </c>
    </row>
    <row r="171" spans="1:9">
      <c r="A171" s="1" t="s">
        <v>183</v>
      </c>
      <c r="B171">
        <f>HYPERLINK("https://www.suredividend.com/sure-analysis-BIG/","Big Lots Inc")</f>
        <v>0</v>
      </c>
      <c r="C171">
        <v>0.08194971755224201</v>
      </c>
      <c r="D171">
        <v>0.042386853161729</v>
      </c>
      <c r="E171">
        <v>-0.204882490286404</v>
      </c>
      <c r="F171">
        <v>0.2</v>
      </c>
      <c r="G171">
        <v>-0.626108797253044</v>
      </c>
      <c r="H171">
        <v>-0.57316040361023</v>
      </c>
      <c r="I171">
        <v>-0.6236591256261681</v>
      </c>
    </row>
    <row r="172" spans="1:9">
      <c r="A172" s="1" t="s">
        <v>184</v>
      </c>
      <c r="B172">
        <f>HYPERLINK("https://www.suredividend.com/sure-analysis-research-database/","BigCommerce Holdings Inc")</f>
        <v>0</v>
      </c>
      <c r="C172">
        <v>-0.027472527472527</v>
      </c>
      <c r="D172">
        <v>-0.406040268456375</v>
      </c>
      <c r="E172">
        <v>-0.524449220849005</v>
      </c>
      <c r="F172">
        <v>0.012585812356979</v>
      </c>
      <c r="G172">
        <v>-0.7290263319044701</v>
      </c>
      <c r="H172">
        <v>-0.863109048723897</v>
      </c>
      <c r="I172">
        <v>-0.877542548775425</v>
      </c>
    </row>
    <row r="173" spans="1:9">
      <c r="A173" s="1" t="s">
        <v>185</v>
      </c>
      <c r="B173">
        <f>HYPERLINK("https://www.suredividend.com/sure-analysis-research-database/","Brookfield Infrastructure Corp")</f>
        <v>0</v>
      </c>
      <c r="C173">
        <v>-0.020799630228796</v>
      </c>
      <c r="D173">
        <v>0.106673736284115</v>
      </c>
      <c r="E173">
        <v>0.013461796054268</v>
      </c>
      <c r="F173">
        <v>0.08920308483290401</v>
      </c>
      <c r="G173">
        <v>0.018681028057605</v>
      </c>
      <c r="H173">
        <v>0.03309966473636</v>
      </c>
      <c r="I173">
        <v>1.121937538812876</v>
      </c>
    </row>
    <row r="174" spans="1:9">
      <c r="A174" s="1" t="s">
        <v>186</v>
      </c>
      <c r="B174">
        <f>HYPERLINK("https://www.suredividend.com/sure-analysis-research-database/","BJ`s Wholesale Club Holdings Inc")</f>
        <v>0</v>
      </c>
      <c r="C174">
        <v>-0.042401821286283</v>
      </c>
      <c r="D174">
        <v>-0.041447087309499</v>
      </c>
      <c r="E174">
        <v>-0.003110650274033</v>
      </c>
      <c r="F174">
        <v>0.017230955259975</v>
      </c>
      <c r="G174">
        <v>0.024509057695235</v>
      </c>
      <c r="H174">
        <v>0.760858189429618</v>
      </c>
      <c r="I174">
        <v>2.059090909090909</v>
      </c>
    </row>
    <row r="175" spans="1:9">
      <c r="A175" s="1" t="s">
        <v>187</v>
      </c>
      <c r="B175">
        <f>HYPERLINK("https://www.suredividend.com/sure-analysis-research-database/","BJ`s Restaurant Inc.")</f>
        <v>0</v>
      </c>
      <c r="C175">
        <v>-0.020847343644922</v>
      </c>
      <c r="D175">
        <v>0.157852882703777</v>
      </c>
      <c r="E175">
        <v>0.3946360153256701</v>
      </c>
      <c r="F175">
        <v>0.103866565579984</v>
      </c>
      <c r="G175">
        <v>-0.137951450562462</v>
      </c>
      <c r="H175">
        <v>-0.344586990772</v>
      </c>
      <c r="I175">
        <v>-0.192123201211815</v>
      </c>
    </row>
    <row r="176" spans="1:9">
      <c r="A176" s="1" t="s">
        <v>188</v>
      </c>
      <c r="B176">
        <f>HYPERLINK("https://www.suredividend.com/sure-analysis-research-database/","Brookdale Senior Living Inc")</f>
        <v>0</v>
      </c>
      <c r="C176">
        <v>0.006944444444444001</v>
      </c>
      <c r="D176">
        <v>-0.3970893970893971</v>
      </c>
      <c r="E176">
        <v>-0.330254041570438</v>
      </c>
      <c r="F176">
        <v>0.06227106227106201</v>
      </c>
      <c r="G176">
        <v>-0.447619047619047</v>
      </c>
      <c r="H176">
        <v>-0.334862385321101</v>
      </c>
      <c r="I176">
        <v>-0.6861471861471861</v>
      </c>
    </row>
    <row r="177" spans="1:9">
      <c r="A177" s="1" t="s">
        <v>189</v>
      </c>
      <c r="B177">
        <f>HYPERLINK("https://www.suredividend.com/sure-analysis-research-database/","Buckle, Inc.")</f>
        <v>0</v>
      </c>
      <c r="C177">
        <v>0.063087248322147</v>
      </c>
      <c r="D177">
        <v>0.4115047139267271</v>
      </c>
      <c r="E177">
        <v>0.7148858005867851</v>
      </c>
      <c r="F177">
        <v>0.047850055126791</v>
      </c>
      <c r="G177">
        <v>0.237954561440528</v>
      </c>
      <c r="H177">
        <v>0.544331277258162</v>
      </c>
      <c r="I177">
        <v>1.965218585031636</v>
      </c>
    </row>
    <row r="178" spans="1:9">
      <c r="A178" s="1" t="s">
        <v>190</v>
      </c>
      <c r="B178">
        <f>HYPERLINK("https://www.suredividend.com/sure-analysis-BKH/","Black Hills Corporation")</f>
        <v>0</v>
      </c>
      <c r="C178">
        <v>0.01468491588252</v>
      </c>
      <c r="D178">
        <v>0.109780476471156</v>
      </c>
      <c r="E178">
        <v>0.017464302257092</v>
      </c>
      <c r="F178">
        <v>0.011799829400056</v>
      </c>
      <c r="G178">
        <v>0.045675001799847</v>
      </c>
      <c r="H178">
        <v>0.282975739374033</v>
      </c>
      <c r="I178">
        <v>0.5291696031077571</v>
      </c>
    </row>
    <row r="179" spans="1:9">
      <c r="A179" s="1" t="s">
        <v>191</v>
      </c>
      <c r="B179">
        <f>HYPERLINK("https://www.suredividend.com/sure-analysis-research-database/","BankUnited Inc")</f>
        <v>0</v>
      </c>
      <c r="C179">
        <v>-0.026934097421203</v>
      </c>
      <c r="D179">
        <v>-0.03376144491928</v>
      </c>
      <c r="E179">
        <v>-0.024916876747885</v>
      </c>
      <c r="F179">
        <v>-0.000294377391816</v>
      </c>
      <c r="G179">
        <v>-0.2489450730266</v>
      </c>
      <c r="H179">
        <v>-0.081320453063752</v>
      </c>
      <c r="I179">
        <v>-0.061575149979413</v>
      </c>
    </row>
    <row r="180" spans="1:9">
      <c r="A180" s="1" t="s">
        <v>192</v>
      </c>
      <c r="B180">
        <f>HYPERLINK("https://www.suredividend.com/sure-analysis-research-database/","BlackLine Inc")</f>
        <v>0</v>
      </c>
      <c r="C180">
        <v>0.04064058014805801</v>
      </c>
      <c r="D180">
        <v>0.10172744721689</v>
      </c>
      <c r="E180">
        <v>-0.09069306930693001</v>
      </c>
      <c r="F180">
        <v>0.023933402705515</v>
      </c>
      <c r="G180">
        <v>-0.284066105394449</v>
      </c>
      <c r="H180">
        <v>-0.468887346749942</v>
      </c>
      <c r="I180">
        <v>0.99883923389437</v>
      </c>
    </row>
    <row r="181" spans="1:9">
      <c r="A181" s="1" t="s">
        <v>193</v>
      </c>
      <c r="B181">
        <f>HYPERLINK("https://www.suredividend.com/sure-analysis-research-database/","Blue Bird Corp")</f>
        <v>0</v>
      </c>
      <c r="C181">
        <v>0.08777429467084601</v>
      </c>
      <c r="D181">
        <v>0.4940796555435951</v>
      </c>
      <c r="E181">
        <v>0.5353982300884951</v>
      </c>
      <c r="F181">
        <v>0.295985060690943</v>
      </c>
      <c r="G181">
        <v>-0.11025641025641</v>
      </c>
      <c r="H181">
        <v>-0.245652173913043</v>
      </c>
      <c r="I181">
        <v>-0.278961038961038</v>
      </c>
    </row>
    <row r="182" spans="1:9">
      <c r="A182" s="1" t="s">
        <v>194</v>
      </c>
      <c r="B182">
        <f>HYPERLINK("https://www.suredividend.com/sure-analysis-research-database/","Biolife Solutions Inc")</f>
        <v>0</v>
      </c>
      <c r="C182">
        <v>0.042246264811952</v>
      </c>
      <c r="D182">
        <v>-0.09525939177101901</v>
      </c>
      <c r="E182">
        <v>0.154680365296803</v>
      </c>
      <c r="F182">
        <v>0.111538461538461</v>
      </c>
      <c r="G182">
        <v>-0.343820953616607</v>
      </c>
      <c r="H182">
        <v>-0.504166666666666</v>
      </c>
      <c r="I182">
        <v>2.536713286713287</v>
      </c>
    </row>
    <row r="183" spans="1:9">
      <c r="A183" s="1" t="s">
        <v>195</v>
      </c>
      <c r="B183">
        <f>HYPERLINK("https://www.suredividend.com/sure-analysis-research-database/","Blue Foundry Bancorp")</f>
        <v>0</v>
      </c>
      <c r="C183">
        <v>0.004746835443037001</v>
      </c>
      <c r="D183">
        <v>0.123893805309734</v>
      </c>
      <c r="E183">
        <v>0.049586776859504</v>
      </c>
      <c r="F183">
        <v>-0.011673151750972</v>
      </c>
      <c r="G183">
        <v>-0.136641740312712</v>
      </c>
      <c r="H183">
        <v>-0.015503875968992</v>
      </c>
      <c r="I183">
        <v>-0.015503875968992</v>
      </c>
    </row>
    <row r="184" spans="1:9">
      <c r="A184" s="1" t="s">
        <v>196</v>
      </c>
      <c r="B184">
        <f>HYPERLINK("https://www.suredividend.com/sure-analysis-research-database/","Berkeley Lights Inc")</f>
        <v>0</v>
      </c>
      <c r="C184">
        <v>-0.018518518518518</v>
      </c>
      <c r="D184">
        <v>-0.029304029304029</v>
      </c>
      <c r="E184">
        <v>-0.5383275261324041</v>
      </c>
      <c r="F184">
        <v>-0.011194029850746</v>
      </c>
      <c r="G184">
        <v>-0.7245322245322241</v>
      </c>
      <c r="H184">
        <v>-0.9701744513224531</v>
      </c>
      <c r="I184">
        <v>-0.9595110771581361</v>
      </c>
    </row>
    <row r="185" spans="1:9">
      <c r="A185" s="1" t="s">
        <v>197</v>
      </c>
      <c r="B185">
        <f>HYPERLINK("https://www.suredividend.com/sure-analysis-research-database/","Blackbaud Inc")</f>
        <v>0</v>
      </c>
      <c r="C185">
        <v>0.080445544554455</v>
      </c>
      <c r="D185">
        <v>0.178592092574734</v>
      </c>
      <c r="E185">
        <v>0.038932335940156</v>
      </c>
      <c r="F185">
        <v>0.038226299694189</v>
      </c>
      <c r="G185">
        <v>-0.119325551232166</v>
      </c>
      <c r="H185">
        <v>-0.018155526992287</v>
      </c>
      <c r="I185">
        <v>-0.338279005653486</v>
      </c>
    </row>
    <row r="186" spans="1:9">
      <c r="A186" s="1" t="s">
        <v>198</v>
      </c>
      <c r="B186">
        <f>HYPERLINK("https://www.suredividend.com/sure-analysis-research-database/","Bloomin Brands Inc")</f>
        <v>0</v>
      </c>
      <c r="C186">
        <v>0.025545750116116</v>
      </c>
      <c r="D186">
        <v>0.147466012555606</v>
      </c>
      <c r="E186">
        <v>0.3429758349502161</v>
      </c>
      <c r="F186">
        <v>0.09741550695825001</v>
      </c>
      <c r="G186">
        <v>0.064050233965755</v>
      </c>
      <c r="H186">
        <v>0.095189202862967</v>
      </c>
      <c r="I186">
        <v>0.085609770487934</v>
      </c>
    </row>
    <row r="187" spans="1:9">
      <c r="A187" s="1" t="s">
        <v>199</v>
      </c>
      <c r="B187">
        <f>HYPERLINK("https://www.suredividend.com/sure-analysis-research-database/","Blink Charging Co")</f>
        <v>0</v>
      </c>
      <c r="C187">
        <v>-0.06109324758842401</v>
      </c>
      <c r="D187">
        <v>-0.246937459703417</v>
      </c>
      <c r="E187">
        <v>-0.360700602079912</v>
      </c>
      <c r="F187">
        <v>0.06472196900638001</v>
      </c>
      <c r="G187">
        <v>-0.5071729957805901</v>
      </c>
      <c r="H187">
        <v>-0.7340013664313361</v>
      </c>
      <c r="I187">
        <v>16.17647058823529</v>
      </c>
    </row>
    <row r="188" spans="1:9">
      <c r="A188" s="1" t="s">
        <v>200</v>
      </c>
      <c r="B188">
        <f>HYPERLINK("https://www.suredividend.com/sure-analysis-research-database/","Bluebird bio Inc")</f>
        <v>0</v>
      </c>
      <c r="C188">
        <v>0.006675567423231001</v>
      </c>
      <c r="D188">
        <v>0.089595375722543</v>
      </c>
      <c r="E188">
        <v>0.464077669902912</v>
      </c>
      <c r="F188">
        <v>0.089595375722543</v>
      </c>
      <c r="G188">
        <v>-0.210471204188481</v>
      </c>
      <c r="H188">
        <v>-0.762566050094154</v>
      </c>
      <c r="I188">
        <v>-0.9320056704024471</v>
      </c>
    </row>
    <row r="189" spans="1:9">
      <c r="A189" s="1" t="s">
        <v>201</v>
      </c>
      <c r="B189">
        <f>HYPERLINK("https://www.suredividend.com/sure-analysis-research-database/","Banco Latinoamericano De Comercio Exterior SA")</f>
        <v>0</v>
      </c>
      <c r="C189">
        <v>-0.03104077906269</v>
      </c>
      <c r="D189">
        <v>0.242284492512738</v>
      </c>
      <c r="E189">
        <v>0.241102960092926</v>
      </c>
      <c r="F189">
        <v>-0.017283950617283</v>
      </c>
      <c r="G189">
        <v>0.019486798542492</v>
      </c>
      <c r="H189">
        <v>0.116934323981113</v>
      </c>
      <c r="I189">
        <v>-0.214242350955297</v>
      </c>
    </row>
    <row r="190" spans="1:9">
      <c r="A190" s="1" t="s">
        <v>202</v>
      </c>
      <c r="B190">
        <f>HYPERLINK("https://www.suredividend.com/sure-analysis-research-database/","Biomea Fusion Inc")</f>
        <v>0</v>
      </c>
      <c r="C190">
        <v>0.07086614173228301</v>
      </c>
      <c r="D190">
        <v>-0.281942977824709</v>
      </c>
      <c r="E190">
        <v>-0.422750424448217</v>
      </c>
      <c r="F190">
        <v>-0.193357058125741</v>
      </c>
      <c r="G190">
        <v>-0.124839124839124</v>
      </c>
      <c r="H190">
        <v>-0.6344086021505371</v>
      </c>
      <c r="I190">
        <v>-0.6344086021505371</v>
      </c>
    </row>
    <row r="191" spans="1:9">
      <c r="A191" s="1" t="s">
        <v>203</v>
      </c>
      <c r="B191">
        <f>HYPERLINK("https://www.suredividend.com/sure-analysis-BMI/","Badger Meter Inc.")</f>
        <v>0</v>
      </c>
      <c r="C191">
        <v>-0.09267999656740701</v>
      </c>
      <c r="D191">
        <v>0.13419136971871</v>
      </c>
      <c r="E191">
        <v>0.308401962664818</v>
      </c>
      <c r="F191">
        <v>-0.030266899018618</v>
      </c>
      <c r="G191">
        <v>0.09105843916624201</v>
      </c>
      <c r="H191">
        <v>0.02508168271235</v>
      </c>
      <c r="I191">
        <v>1.354940519543578</v>
      </c>
    </row>
    <row r="192" spans="1:9">
      <c r="A192" s="1" t="s">
        <v>204</v>
      </c>
      <c r="B192">
        <f>HYPERLINK("https://www.suredividend.com/sure-analysis-BMRC/","Bank of Marin Bancorp")</f>
        <v>0</v>
      </c>
      <c r="C192">
        <v>-0.04197457877623401</v>
      </c>
      <c r="D192">
        <v>0.06126244715790501</v>
      </c>
      <c r="E192">
        <v>0.01973394414589</v>
      </c>
      <c r="F192">
        <v>-0.014294403892944</v>
      </c>
      <c r="G192">
        <v>-0.138879294311448</v>
      </c>
      <c r="H192">
        <v>-0.077613121173915</v>
      </c>
      <c r="I192">
        <v>0.056946627619538</v>
      </c>
    </row>
    <row r="193" spans="1:9">
      <c r="A193" s="1" t="s">
        <v>205</v>
      </c>
      <c r="B193">
        <f>HYPERLINK("https://www.suredividend.com/sure-analysis-research-database/","Barnes &amp; Noble Education Inc")</f>
        <v>0</v>
      </c>
      <c r="C193">
        <v>0.315068493150684</v>
      </c>
      <c r="D193">
        <v>-0.2</v>
      </c>
      <c r="E193">
        <v>-0.342465753424657</v>
      </c>
      <c r="F193">
        <v>0.097142857142857</v>
      </c>
      <c r="G193">
        <v>-0.713432835820895</v>
      </c>
      <c r="H193">
        <v>-0.6049382716049381</v>
      </c>
      <c r="I193">
        <v>-0.7436582109479301</v>
      </c>
    </row>
    <row r="194" spans="1:9">
      <c r="A194" s="1" t="s">
        <v>206</v>
      </c>
      <c r="B194">
        <f>HYPERLINK("https://www.suredividend.com/sure-analysis-research-database/","Benefitfocus Inc")</f>
        <v>0</v>
      </c>
      <c r="C194">
        <v>0.007692307692307001</v>
      </c>
      <c r="D194">
        <v>0.6608557844690961</v>
      </c>
      <c r="E194">
        <v>0.293827160493827</v>
      </c>
      <c r="F194">
        <v>0.001912045889101</v>
      </c>
      <c r="G194">
        <v>-0.006635071090047</v>
      </c>
      <c r="H194">
        <v>-0.273231622746185</v>
      </c>
      <c r="I194">
        <v>-0.6067542213883671</v>
      </c>
    </row>
    <row r="195" spans="1:9">
      <c r="A195" s="1" t="s">
        <v>207</v>
      </c>
      <c r="B195">
        <f>HYPERLINK("https://www.suredividend.com/sure-analysis-research-database/","Bionano Genomics Inc")</f>
        <v>0</v>
      </c>
      <c r="C195">
        <v>-0.268867924528301</v>
      </c>
      <c r="D195">
        <v>-0.217171717171717</v>
      </c>
      <c r="E195">
        <v>-0.049079754601226</v>
      </c>
      <c r="F195">
        <v>0.06164383561643801</v>
      </c>
      <c r="G195">
        <v>-0.430147058823529</v>
      </c>
      <c r="H195">
        <v>-0.6702127659574461</v>
      </c>
      <c r="I195">
        <v>-0.778254649499284</v>
      </c>
    </row>
    <row r="196" spans="1:9">
      <c r="A196" s="1" t="s">
        <v>208</v>
      </c>
      <c r="B196">
        <f>HYPERLINK("https://www.suredividend.com/sure-analysis-research-database/","Broadstone Net Lease Inc")</f>
        <v>0</v>
      </c>
      <c r="C196">
        <v>0.022877837646851</v>
      </c>
      <c r="D196">
        <v>0.141899220984123</v>
      </c>
      <c r="E196">
        <v>-0.155738740752981</v>
      </c>
      <c r="F196">
        <v>0.071560764959901</v>
      </c>
      <c r="G196">
        <v>-0.240532894938197</v>
      </c>
      <c r="H196">
        <v>0.06023890472499101</v>
      </c>
      <c r="I196">
        <v>0.06023890472499101</v>
      </c>
    </row>
    <row r="197" spans="1:9">
      <c r="A197" s="1" t="s">
        <v>209</v>
      </c>
      <c r="B197">
        <f>HYPERLINK("https://www.suredividend.com/sure-analysis-research-database/","Boston Omaha Corp")</f>
        <v>0</v>
      </c>
      <c r="C197">
        <v>0.05145929339477701</v>
      </c>
      <c r="D197">
        <v>0.138461538461538</v>
      </c>
      <c r="E197">
        <v>0.230008984725965</v>
      </c>
      <c r="F197">
        <v>0.033207547169811</v>
      </c>
      <c r="G197">
        <v>-0.057487091222031</v>
      </c>
      <c r="H197">
        <v>0.025084238113066</v>
      </c>
      <c r="I197">
        <v>0.09695512820512801</v>
      </c>
    </row>
    <row r="198" spans="1:9">
      <c r="A198" s="1" t="s">
        <v>210</v>
      </c>
      <c r="B198">
        <f>HYPERLINK("https://www.suredividend.com/sure-analysis-research-database/","Bolt Biotherapeutics Inc")</f>
        <v>0</v>
      </c>
      <c r="C198">
        <v>0.081481481481481</v>
      </c>
      <c r="D198">
        <v>-0.006802721088435001</v>
      </c>
      <c r="E198">
        <v>-0.381355932203389</v>
      </c>
      <c r="F198">
        <v>0.123076923076923</v>
      </c>
      <c r="G198">
        <v>-0.6137566137566131</v>
      </c>
      <c r="H198">
        <v>-0.9545878693623641</v>
      </c>
      <c r="I198">
        <v>-0.9545878693623641</v>
      </c>
    </row>
    <row r="199" spans="1:9">
      <c r="A199" s="1" t="s">
        <v>211</v>
      </c>
      <c r="B199">
        <f>HYPERLINK("https://www.suredividend.com/sure-analysis-research-database/","DMC Global Inc")</f>
        <v>0</v>
      </c>
      <c r="C199">
        <v>0.208438287153652</v>
      </c>
      <c r="D199">
        <v>0.131485849056603</v>
      </c>
      <c r="E199">
        <v>-0.005699481865284001</v>
      </c>
      <c r="F199">
        <v>-0.012860082304526</v>
      </c>
      <c r="G199">
        <v>-0.5552723059096171</v>
      </c>
      <c r="H199">
        <v>-0.616046418567426</v>
      </c>
      <c r="I199">
        <v>-0.191042875992226</v>
      </c>
    </row>
    <row r="200" spans="1:9">
      <c r="A200" s="1" t="s">
        <v>212</v>
      </c>
      <c r="B200">
        <f>HYPERLINK("https://www.suredividend.com/sure-analysis-research-database/","Boot Barn Holdings Inc")</f>
        <v>0</v>
      </c>
      <c r="C200">
        <v>0.09767441860465101</v>
      </c>
      <c r="D200">
        <v>0.181018119068162</v>
      </c>
      <c r="E200">
        <v>-0.016242633318959</v>
      </c>
      <c r="F200">
        <v>0.09468969929622501</v>
      </c>
      <c r="G200">
        <v>-0.438187489738959</v>
      </c>
      <c r="H200">
        <v>0.408520271660835</v>
      </c>
      <c r="I200">
        <v>2.82988248461108</v>
      </c>
    </row>
    <row r="201" spans="1:9">
      <c r="A201" s="1" t="s">
        <v>213</v>
      </c>
      <c r="B201">
        <f>HYPERLINK("https://www.suredividend.com/sure-analysis-research-database/","Box Inc")</f>
        <v>0</v>
      </c>
      <c r="C201">
        <v>0.061543934542867</v>
      </c>
      <c r="D201">
        <v>0.100294985250737</v>
      </c>
      <c r="E201">
        <v>0.113432835820895</v>
      </c>
      <c r="F201">
        <v>-0.041439126244779</v>
      </c>
      <c r="G201">
        <v>0.162899454403741</v>
      </c>
      <c r="H201">
        <v>0.6051640667025281</v>
      </c>
      <c r="I201">
        <v>0.422306959008579</v>
      </c>
    </row>
    <row r="202" spans="1:9">
      <c r="A202" s="1" t="s">
        <v>214</v>
      </c>
      <c r="B202">
        <f>HYPERLINK("https://www.suredividend.com/sure-analysis-research-database/","Blueprint Medicines Corp")</f>
        <v>0</v>
      </c>
      <c r="C202">
        <v>-0.03090601185436</v>
      </c>
      <c r="D202">
        <v>-0.224067796610169</v>
      </c>
      <c r="E202">
        <v>-0.190880169671261</v>
      </c>
      <c r="F202">
        <v>0.044966902533668</v>
      </c>
      <c r="G202">
        <v>-0.499398578458173</v>
      </c>
      <c r="H202">
        <v>-0.5772072404876241</v>
      </c>
      <c r="I202">
        <v>-0.4132273775954881</v>
      </c>
    </row>
    <row r="203" spans="1:9">
      <c r="A203" s="1" t="s">
        <v>215</v>
      </c>
      <c r="B203">
        <f>HYPERLINK("https://www.suredividend.com/sure-analysis-research-database/","Bellring Brands Inc")</f>
        <v>0</v>
      </c>
      <c r="C203">
        <v>0.056900726392251</v>
      </c>
      <c r="D203">
        <v>0.259134615384615</v>
      </c>
      <c r="E203">
        <v>0.100882723833543</v>
      </c>
      <c r="F203">
        <v>0.021450858034321</v>
      </c>
      <c r="G203">
        <v>0.06810766721044001</v>
      </c>
      <c r="H203">
        <v>0.06810766721044001</v>
      </c>
      <c r="I203">
        <v>0.06810766721044001</v>
      </c>
    </row>
    <row r="204" spans="1:9">
      <c r="A204" s="1" t="s">
        <v>216</v>
      </c>
      <c r="B204">
        <f>HYPERLINK("https://www.suredividend.com/sure-analysis-research-database/","Blue Ridge Bankshares Inc (VA)")</f>
        <v>0</v>
      </c>
      <c r="C204">
        <v>-0.084194977843426</v>
      </c>
      <c r="D204">
        <v>-0.01350856815542</v>
      </c>
      <c r="E204">
        <v>-0.14866154490467</v>
      </c>
      <c r="F204">
        <v>-0.007205764611689001</v>
      </c>
      <c r="G204">
        <v>-0.293761177368462</v>
      </c>
      <c r="H204">
        <v>0.080308759213117</v>
      </c>
      <c r="I204">
        <v>0.270947573412596</v>
      </c>
    </row>
    <row r="205" spans="1:9">
      <c r="A205" s="1" t="s">
        <v>217</v>
      </c>
      <c r="B205">
        <f>HYPERLINK("https://www.suredividend.com/sure-analysis-BRC/","Brady Corp.")</f>
        <v>0</v>
      </c>
      <c r="C205">
        <v>0.04549042071041701</v>
      </c>
      <c r="D205">
        <v>0.137296032306627</v>
      </c>
      <c r="E205">
        <v>0.069016625421671</v>
      </c>
      <c r="F205">
        <v>0.020186116764589</v>
      </c>
      <c r="G205">
        <v>-0.08792154065348401</v>
      </c>
      <c r="H205">
        <v>-0.087629190523706</v>
      </c>
      <c r="I205">
        <v>0.361369226564635</v>
      </c>
    </row>
    <row r="206" spans="1:9">
      <c r="A206" s="1" t="s">
        <v>218</v>
      </c>
      <c r="B206">
        <f>HYPERLINK("https://www.suredividend.com/sure-analysis-research-database/","Brookline Bancorp, Inc.")</f>
        <v>0</v>
      </c>
      <c r="C206">
        <v>0.010964912280701</v>
      </c>
      <c r="D206">
        <v>0.189073932369808</v>
      </c>
      <c r="E206">
        <v>0.069671750765708</v>
      </c>
      <c r="F206">
        <v>-0.022614840989399</v>
      </c>
      <c r="G206">
        <v>-0.171474272568789</v>
      </c>
      <c r="H206">
        <v>0.158553441733055</v>
      </c>
      <c r="I206">
        <v>0.027374363926754</v>
      </c>
    </row>
    <row r="207" spans="1:9">
      <c r="A207" s="1" t="s">
        <v>219</v>
      </c>
      <c r="B207">
        <f>HYPERLINK("https://www.suredividend.com/sure-analysis-BRMK/","Broadmark Realty Capital Inc")</f>
        <v>0</v>
      </c>
      <c r="C207">
        <v>0.023118802766892</v>
      </c>
      <c r="D207">
        <v>-0.214950253274404</v>
      </c>
      <c r="E207">
        <v>-0.391579079079079</v>
      </c>
      <c r="F207">
        <v>0.09269662921348301</v>
      </c>
      <c r="G207">
        <v>-0.55268332509228</v>
      </c>
      <c r="H207">
        <v>-0.530567422103154</v>
      </c>
      <c r="I207">
        <v>-0.526625778816199</v>
      </c>
    </row>
    <row r="208" spans="1:9">
      <c r="A208" s="1" t="s">
        <v>220</v>
      </c>
      <c r="B208">
        <f>HYPERLINK("https://www.suredividend.com/sure-analysis-research-database/","BRP Group Inc")</f>
        <v>0</v>
      </c>
      <c r="C208">
        <v>0.087786259541984</v>
      </c>
      <c r="D208">
        <v>0.077097505668934</v>
      </c>
      <c r="E208">
        <v>0.08944954128440301</v>
      </c>
      <c r="F208">
        <v>0.133651551312649</v>
      </c>
      <c r="G208">
        <v>-0.148236700537955</v>
      </c>
      <c r="H208">
        <v>-0.056603773584905</v>
      </c>
      <c r="I208">
        <v>0.7409896151496641</v>
      </c>
    </row>
    <row r="209" spans="1:9">
      <c r="A209" s="1" t="s">
        <v>221</v>
      </c>
      <c r="B209">
        <f>HYPERLINK("https://www.suredividend.com/sure-analysis-research-database/","BrightSpire Capital Inc")</f>
        <v>0</v>
      </c>
      <c r="C209">
        <v>0.035706197629651</v>
      </c>
      <c r="D209">
        <v>0.100028863731118</v>
      </c>
      <c r="E209">
        <v>-0.047566156665648</v>
      </c>
      <c r="F209">
        <v>0.101123595505618</v>
      </c>
      <c r="G209">
        <v>-0.24257480401899</v>
      </c>
      <c r="H209">
        <v>-0.198495133720454</v>
      </c>
      <c r="I209">
        <v>-0.572915629046717</v>
      </c>
    </row>
    <row r="210" spans="1:9">
      <c r="A210" s="1" t="s">
        <v>222</v>
      </c>
      <c r="B210">
        <f>HYPERLINK("https://www.suredividend.com/sure-analysis-research-database/","BRT Apartments Corp")</f>
        <v>0</v>
      </c>
      <c r="C210">
        <v>-0.016771245842411</v>
      </c>
      <c r="D210">
        <v>0.037909732661223</v>
      </c>
      <c r="E210">
        <v>-0.09498490097634101</v>
      </c>
      <c r="F210">
        <v>-0.005091649694501</v>
      </c>
      <c r="G210">
        <v>-0.09876668480817601</v>
      </c>
      <c r="H210">
        <v>0.403181214319054</v>
      </c>
      <c r="I210">
        <v>1.007437999547966</v>
      </c>
    </row>
    <row r="211" spans="1:9">
      <c r="A211" s="1" t="s">
        <v>223</v>
      </c>
      <c r="B211">
        <f>HYPERLINK("https://www.suredividend.com/sure-analysis-research-database/","Berry Corp")</f>
        <v>0</v>
      </c>
      <c r="C211">
        <v>0.103825136612021</v>
      </c>
      <c r="D211">
        <v>-0.042347670463299</v>
      </c>
      <c r="E211">
        <v>0.151374381920002</v>
      </c>
      <c r="F211">
        <v>0.01</v>
      </c>
      <c r="G211">
        <v>-0.007017242014968001</v>
      </c>
      <c r="H211">
        <v>1.089421013162318</v>
      </c>
      <c r="I211">
        <v>-0.249091568078956</v>
      </c>
    </row>
    <row r="212" spans="1:9">
      <c r="A212" s="1" t="s">
        <v>224</v>
      </c>
      <c r="B212">
        <f>HYPERLINK("https://www.suredividend.com/sure-analysis-research-database/","Bassett Furniture Industries Inc.")</f>
        <v>0</v>
      </c>
      <c r="C212">
        <v>0.021689497716894</v>
      </c>
      <c r="D212">
        <v>0.171243677574282</v>
      </c>
      <c r="E212">
        <v>-0.0905673031002</v>
      </c>
      <c r="F212">
        <v>0.029919447640966</v>
      </c>
      <c r="G212">
        <v>0.20475440509362</v>
      </c>
      <c r="H212">
        <v>0.022564981433875</v>
      </c>
      <c r="I212">
        <v>-0.358705660228644</v>
      </c>
    </row>
    <row r="213" spans="1:9">
      <c r="A213" s="1" t="s">
        <v>225</v>
      </c>
      <c r="B213">
        <f>HYPERLINK("https://www.suredividend.com/sure-analysis-research-database/","BrightSphere Investment Group Inc")</f>
        <v>0</v>
      </c>
      <c r="C213">
        <v>0.074555653242433</v>
      </c>
      <c r="D213">
        <v>0.23806364476459</v>
      </c>
      <c r="E213">
        <v>0.183431952662721</v>
      </c>
      <c r="F213">
        <v>0.015549076773566</v>
      </c>
      <c r="G213">
        <v>-0.137824347180396</v>
      </c>
      <c r="H213">
        <v>0.052032839532273</v>
      </c>
      <c r="I213">
        <v>0.191528177646018</v>
      </c>
    </row>
    <row r="214" spans="1:9">
      <c r="A214" s="1" t="s">
        <v>226</v>
      </c>
      <c r="B214">
        <f>HYPERLINK("https://www.suredividend.com/sure-analysis-research-database/","Sierra Bancorp")</f>
        <v>0</v>
      </c>
      <c r="C214">
        <v>-0.043064369900271</v>
      </c>
      <c r="D214">
        <v>0.040860299882157</v>
      </c>
      <c r="E214">
        <v>0.00691148623188</v>
      </c>
      <c r="F214">
        <v>-0.006120527306967</v>
      </c>
      <c r="G214">
        <v>-0.23264546475658</v>
      </c>
      <c r="H214">
        <v>-0.08991360430426401</v>
      </c>
      <c r="I214">
        <v>-0.06889555398729701</v>
      </c>
    </row>
    <row r="215" spans="1:9">
      <c r="A215" s="1" t="s">
        <v>227</v>
      </c>
      <c r="B215">
        <f>HYPERLINK("https://www.suredividend.com/sure-analysis-research-database/","BioXcel Therapeutics Inc")</f>
        <v>0</v>
      </c>
      <c r="C215">
        <v>0.3184488836662751</v>
      </c>
      <c r="D215">
        <v>1.021621621621621</v>
      </c>
      <c r="E215">
        <v>0.384330660086366</v>
      </c>
      <c r="F215">
        <v>0.044692737430167</v>
      </c>
      <c r="G215">
        <v>0.138508371385083</v>
      </c>
      <c r="H215">
        <v>-0.5734651206994861</v>
      </c>
      <c r="I215">
        <v>1.034451495920218</v>
      </c>
    </row>
    <row r="216" spans="1:9">
      <c r="A216" s="1" t="s">
        <v>228</v>
      </c>
      <c r="B216">
        <f>HYPERLINK("https://www.suredividend.com/sure-analysis-research-database/","BTRS Holdings Inc")</f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>
      <c r="A217" s="1" t="s">
        <v>229</v>
      </c>
      <c r="B217">
        <f>HYPERLINK("https://www.suredividend.com/sure-analysis-research-database/","Peabody Energy Corp.")</f>
        <v>0</v>
      </c>
      <c r="C217">
        <v>-0.014962593516209</v>
      </c>
      <c r="D217">
        <v>0.028645833333333</v>
      </c>
      <c r="E217">
        <v>0.322966507177033</v>
      </c>
      <c r="F217">
        <v>0.046555639666918</v>
      </c>
      <c r="G217">
        <v>1.43183817062445</v>
      </c>
      <c r="H217">
        <v>7.613707165109034</v>
      </c>
      <c r="I217">
        <v>-0.23258182787074</v>
      </c>
    </row>
    <row r="218" spans="1:9">
      <c r="A218" s="1" t="s">
        <v>230</v>
      </c>
      <c r="B218">
        <f>HYPERLINK("https://www.suredividend.com/sure-analysis-research-database/","Brooklyn ImmunoTherapeutics Inc")</f>
        <v>0</v>
      </c>
      <c r="C218">
        <v>-0.344099776143268</v>
      </c>
      <c r="D218">
        <v>-0.6468055794730491</v>
      </c>
      <c r="E218">
        <v>-0.8749390243902431</v>
      </c>
      <c r="F218">
        <v>-0.9508153477218221</v>
      </c>
      <c r="G218">
        <v>-0.9775846994535521</v>
      </c>
      <c r="H218">
        <v>-0.046046511627906</v>
      </c>
      <c r="I218">
        <v>-0.672364217252396</v>
      </c>
    </row>
    <row r="219" spans="1:9">
      <c r="A219" s="1" t="s">
        <v>231</v>
      </c>
      <c r="B219">
        <f>HYPERLINK("https://www.suredividend.com/sure-analysis-research-database/","First Busey Corp.")</f>
        <v>0</v>
      </c>
      <c r="C219">
        <v>-0.019758064516129</v>
      </c>
      <c r="D219">
        <v>0.081718468418359</v>
      </c>
      <c r="E219">
        <v>0.05707142080660901</v>
      </c>
      <c r="F219">
        <v>-0.016585760517799</v>
      </c>
      <c r="G219">
        <v>-0.143220658567617</v>
      </c>
      <c r="H219">
        <v>0.137389758345614</v>
      </c>
      <c r="I219">
        <v>-0.06240719528233801</v>
      </c>
    </row>
    <row r="220" spans="1:9">
      <c r="A220" s="1" t="s">
        <v>232</v>
      </c>
      <c r="B220">
        <f>HYPERLINK("https://www.suredividend.com/sure-analysis-research-database/","BrightView Holdings Inc")</f>
        <v>0</v>
      </c>
      <c r="C220">
        <v>0.14018691588785</v>
      </c>
      <c r="D220">
        <v>-0.105134474327628</v>
      </c>
      <c r="E220">
        <v>-0.394039735099337</v>
      </c>
      <c r="F220">
        <v>0.06240928882438301</v>
      </c>
      <c r="G220">
        <v>-0.483415666901905</v>
      </c>
      <c r="H220">
        <v>-0.5325670498084291</v>
      </c>
      <c r="I220">
        <v>0.028089887640449</v>
      </c>
    </row>
    <row r="221" spans="1:9">
      <c r="A221" s="1" t="s">
        <v>233</v>
      </c>
      <c r="B221">
        <f>HYPERLINK("https://www.suredividend.com/sure-analysis-research-database/","Bluegreen Vacations Holding Corporation")</f>
        <v>0</v>
      </c>
      <c r="C221">
        <v>0.197792088316467</v>
      </c>
      <c r="D221">
        <v>0.539207225525777</v>
      </c>
      <c r="E221">
        <v>0.064247179990191</v>
      </c>
      <c r="F221">
        <v>0.04326923076923</v>
      </c>
      <c r="G221">
        <v>-0.221461822030477</v>
      </c>
      <c r="H221">
        <v>1.065404475043029</v>
      </c>
      <c r="I221">
        <v>-0.411675662486189</v>
      </c>
    </row>
    <row r="222" spans="1:9">
      <c r="A222" s="1" t="s">
        <v>234</v>
      </c>
      <c r="B222">
        <f>HYPERLINK("https://www.suredividend.com/sure-analysis-research-database/","Bioventus Inc")</f>
        <v>0</v>
      </c>
      <c r="C222">
        <v>0.046511627906976</v>
      </c>
      <c r="D222">
        <v>-0.608127721335268</v>
      </c>
      <c r="E222">
        <v>-0.6590909090909091</v>
      </c>
      <c r="F222">
        <v>0.034482758620689</v>
      </c>
      <c r="G222">
        <v>-0.8102600140548131</v>
      </c>
      <c r="H222">
        <v>-0.859448204060385</v>
      </c>
      <c r="I222">
        <v>-0.859448204060385</v>
      </c>
    </row>
    <row r="223" spans="1:9">
      <c r="A223" s="1" t="s">
        <v>235</v>
      </c>
      <c r="B223">
        <f>HYPERLINK("https://www.suredividend.com/sure-analysis-research-database/","Babcock &amp; Wilcox Enterprises Inc")</f>
        <v>0</v>
      </c>
      <c r="C223">
        <v>0.256048387096774</v>
      </c>
      <c r="D223">
        <v>-0.047400611620795</v>
      </c>
      <c r="E223">
        <v>0.014657980456026</v>
      </c>
      <c r="F223">
        <v>0.079722703639514</v>
      </c>
      <c r="G223">
        <v>-0.279768786127167</v>
      </c>
      <c r="H223">
        <v>0.692934782608695</v>
      </c>
      <c r="I223">
        <v>-0.8908931698774081</v>
      </c>
    </row>
    <row r="224" spans="1:9">
      <c r="A224" s="1" t="s">
        <v>236</v>
      </c>
      <c r="B224">
        <f>HYPERLINK("https://www.suredividend.com/sure-analysis-research-database/","Bridgewater Bancshares Inc")</f>
        <v>0</v>
      </c>
      <c r="C224">
        <v>-0.069854916711445</v>
      </c>
      <c r="D224">
        <v>0.042143287176399</v>
      </c>
      <c r="E224">
        <v>0.05227963525835801</v>
      </c>
      <c r="F224">
        <v>-0.02423900789177</v>
      </c>
      <c r="G224">
        <v>-0.042058660763696</v>
      </c>
      <c r="H224">
        <v>0.337712519319938</v>
      </c>
      <c r="I224">
        <v>0.371632329635499</v>
      </c>
    </row>
    <row r="225" spans="1:9">
      <c r="A225" s="1" t="s">
        <v>237</v>
      </c>
      <c r="B225">
        <f>HYPERLINK("https://www.suredividend.com/sure-analysis-research-database/","Bluelinx Hldgs Inc")</f>
        <v>0</v>
      </c>
      <c r="C225">
        <v>0.128032345013477</v>
      </c>
      <c r="D225">
        <v>0.108446144791053</v>
      </c>
      <c r="E225">
        <v>0.051507537688442</v>
      </c>
      <c r="F225">
        <v>0.05934467726058201</v>
      </c>
      <c r="G225">
        <v>-0.070114800641896</v>
      </c>
      <c r="H225">
        <v>1.20844327176781</v>
      </c>
      <c r="I225">
        <v>6.181124880838894</v>
      </c>
    </row>
    <row r="226" spans="1:9">
      <c r="A226" s="1" t="s">
        <v>238</v>
      </c>
      <c r="B226">
        <f>HYPERLINK("https://www.suredividend.com/sure-analysis-BXMT/","Blackstone Mortgage Trust Inc")</f>
        <v>0</v>
      </c>
      <c r="C226">
        <v>-0.041230977753257</v>
      </c>
      <c r="D226">
        <v>0.003660838127288</v>
      </c>
      <c r="E226">
        <v>-0.172003436542148</v>
      </c>
      <c r="F226">
        <v>0.042512990080302</v>
      </c>
      <c r="G226">
        <v>-0.225459126913101</v>
      </c>
      <c r="H226">
        <v>-0.008931738882477001</v>
      </c>
      <c r="I226">
        <v>0.069619793054983</v>
      </c>
    </row>
    <row r="227" spans="1:9">
      <c r="A227" s="1" t="s">
        <v>239</v>
      </c>
      <c r="B227">
        <f>HYPERLINK("https://www.suredividend.com/sure-analysis-research-database/","Byline Bancorp Inc")</f>
        <v>0</v>
      </c>
      <c r="C227">
        <v>0.001754385964912</v>
      </c>
      <c r="D227">
        <v>0.117980195499689</v>
      </c>
      <c r="E227">
        <v>-0.040025554486115</v>
      </c>
      <c r="F227">
        <v>-0.005659555942533001</v>
      </c>
      <c r="G227">
        <v>-0.200450884089882</v>
      </c>
      <c r="H227">
        <v>0.46970818184743</v>
      </c>
      <c r="I227">
        <v>0.05616055120112801</v>
      </c>
    </row>
    <row r="228" spans="1:9">
      <c r="A228" s="1" t="s">
        <v>240</v>
      </c>
      <c r="B228">
        <f>HYPERLINK("https://www.suredividend.com/sure-analysis-research-database/","Byrna Technologies Inc")</f>
        <v>0</v>
      </c>
      <c r="C228">
        <v>-0.029246344206974</v>
      </c>
      <c r="D228">
        <v>0.715705765407554</v>
      </c>
      <c r="E228">
        <v>-0.057860262008733</v>
      </c>
      <c r="F228">
        <v>0.100765306122449</v>
      </c>
      <c r="G228">
        <v>-0.287365813377374</v>
      </c>
      <c r="H228">
        <v>-0.383571428571428</v>
      </c>
      <c r="I228">
        <v>4.198795180722892</v>
      </c>
    </row>
    <row r="229" spans="1:9">
      <c r="A229" s="1" t="s">
        <v>241</v>
      </c>
      <c r="B229">
        <f>HYPERLINK("https://www.suredividend.com/sure-analysis-research-database/","BeyondSpring Inc")</f>
        <v>0</v>
      </c>
      <c r="C229">
        <v>2.114754098360656</v>
      </c>
      <c r="D229">
        <v>0.9513197083290541</v>
      </c>
      <c r="E229">
        <v>0.04972375690607701</v>
      </c>
      <c r="F229">
        <v>0.01063829787234</v>
      </c>
      <c r="G229">
        <v>-0.580573951434878</v>
      </c>
      <c r="H229">
        <v>-0.8494453248811411</v>
      </c>
      <c r="I229">
        <v>-0.9311344690105111</v>
      </c>
    </row>
    <row r="230" spans="1:9">
      <c r="A230" s="1" t="s">
        <v>242</v>
      </c>
      <c r="B230">
        <f>HYPERLINK("https://www.suredividend.com/sure-analysis-research-database/","Beazer Homes USA Inc.")</f>
        <v>0</v>
      </c>
      <c r="C230">
        <v>0.018684603886397</v>
      </c>
      <c r="D230">
        <v>0.293168880455408</v>
      </c>
      <c r="E230">
        <v>0.034142640364188</v>
      </c>
      <c r="F230">
        <v>0.06818181818181801</v>
      </c>
      <c r="G230">
        <v>-0.350023843586075</v>
      </c>
      <c r="H230">
        <v>-0.094953519256308</v>
      </c>
      <c r="I230">
        <v>-0.306361323155216</v>
      </c>
    </row>
    <row r="231" spans="1:9">
      <c r="A231" s="1" t="s">
        <v>243</v>
      </c>
      <c r="B231">
        <f>HYPERLINK("https://www.suredividend.com/sure-analysis-research-database/","Camden National Corp.")</f>
        <v>0</v>
      </c>
      <c r="C231">
        <v>-0.009026128266033001</v>
      </c>
      <c r="D231">
        <v>0.031909552088924</v>
      </c>
      <c r="E231">
        <v>-0.062421344072489</v>
      </c>
      <c r="F231">
        <v>0.0007195970256650001</v>
      </c>
      <c r="G231">
        <v>-0.162934784353381</v>
      </c>
      <c r="H231">
        <v>0.153713203268669</v>
      </c>
      <c r="I231">
        <v>0.121785822799785</v>
      </c>
    </row>
    <row r="232" spans="1:9">
      <c r="A232" s="1" t="s">
        <v>244</v>
      </c>
      <c r="B232">
        <f>HYPERLINK("https://www.suredividend.com/sure-analysis-research-database/","Cadence Bank")</f>
        <v>0</v>
      </c>
      <c r="C232">
        <v>-0.025256142754819</v>
      </c>
      <c r="D232">
        <v>-0.04550981744994</v>
      </c>
      <c r="E232">
        <v>0.06757165818947601</v>
      </c>
      <c r="F232">
        <v>0.015409570154095</v>
      </c>
      <c r="G232">
        <v>-0.22469579217884</v>
      </c>
      <c r="H232">
        <v>-0.145759843889658</v>
      </c>
      <c r="I232">
        <v>-0.16540566484238</v>
      </c>
    </row>
    <row r="233" spans="1:9">
      <c r="A233" s="1" t="s">
        <v>245</v>
      </c>
      <c r="B233">
        <f>HYPERLINK("https://www.suredividend.com/sure-analysis-CAKE/","Cheesecake Factory Inc.")</f>
        <v>0</v>
      </c>
      <c r="C233">
        <v>0.137148047229791</v>
      </c>
      <c r="D233">
        <v>0.224509755978287</v>
      </c>
      <c r="E233">
        <v>0.4048579058790081</v>
      </c>
      <c r="F233">
        <v>0.184484389782403</v>
      </c>
      <c r="G233">
        <v>-0.011571143982715</v>
      </c>
      <c r="H233">
        <v>0.009167410018592</v>
      </c>
      <c r="I233">
        <v>-0.131741371737673</v>
      </c>
    </row>
    <row r="234" spans="1:9">
      <c r="A234" s="1" t="s">
        <v>246</v>
      </c>
      <c r="B234">
        <f>HYPERLINK("https://www.suredividend.com/sure-analysis-research-database/","Caleres Inc")</f>
        <v>0</v>
      </c>
      <c r="C234">
        <v>0.027633537891717</v>
      </c>
      <c r="D234">
        <v>-0.083092699166116</v>
      </c>
      <c r="E234">
        <v>-0.137359497047056</v>
      </c>
      <c r="F234">
        <v>0.016157989228007</v>
      </c>
      <c r="G234">
        <v>0.015005402303488</v>
      </c>
      <c r="H234">
        <v>0.493699280860328</v>
      </c>
      <c r="I234">
        <v>-0.230248775163963</v>
      </c>
    </row>
    <row r="235" spans="1:9">
      <c r="A235" s="1" t="s">
        <v>247</v>
      </c>
      <c r="B235">
        <f>HYPERLINK("https://www.suredividend.com/sure-analysis-research-database/","Cal-Maine Foods, Inc.")</f>
        <v>0</v>
      </c>
      <c r="C235">
        <v>-0.09448886596165401</v>
      </c>
      <c r="D235">
        <v>-0.003604507052913</v>
      </c>
      <c r="E235">
        <v>0.030958109740459</v>
      </c>
      <c r="F235">
        <v>-0.03287419651056001</v>
      </c>
      <c r="G235">
        <v>0.397443416279446</v>
      </c>
      <c r="H235">
        <v>0.430340826370856</v>
      </c>
      <c r="I235">
        <v>0.266486450086099</v>
      </c>
    </row>
    <row r="236" spans="1:9">
      <c r="A236" s="1" t="s">
        <v>248</v>
      </c>
      <c r="B236">
        <f>HYPERLINK("https://www.suredividend.com/sure-analysis-research-database/","Calix Inc")</f>
        <v>0</v>
      </c>
      <c r="C236">
        <v>-0.046092460099064</v>
      </c>
      <c r="D236">
        <v>0.144815059445178</v>
      </c>
      <c r="E236">
        <v>0.7093195266272181</v>
      </c>
      <c r="F236">
        <v>0.013152126260411</v>
      </c>
      <c r="G236">
        <v>0.160528958821559</v>
      </c>
      <c r="H236">
        <v>1.177449748743718</v>
      </c>
      <c r="I236">
        <v>11.27079646017699</v>
      </c>
    </row>
    <row r="237" spans="1:9">
      <c r="A237" s="1" t="s">
        <v>249</v>
      </c>
      <c r="B237">
        <f>HYPERLINK("https://www.suredividend.com/sure-analysis-research-database/","Calamp Corp.")</f>
        <v>0</v>
      </c>
      <c r="C237">
        <v>0.435820895522387</v>
      </c>
      <c r="D237">
        <v>0.196517412935323</v>
      </c>
      <c r="E237">
        <v>0.116009280742459</v>
      </c>
      <c r="F237">
        <v>0.07366071428571401</v>
      </c>
      <c r="G237">
        <v>-0.266768292682926</v>
      </c>
      <c r="H237">
        <v>-0.5204386839481551</v>
      </c>
      <c r="I237">
        <v>-0.790869565217391</v>
      </c>
    </row>
    <row r="238" spans="1:9">
      <c r="A238" s="1" t="s">
        <v>250</v>
      </c>
      <c r="B238">
        <f>HYPERLINK("https://www.suredividend.com/sure-analysis-research-database/","Avis Budget Group Inc")</f>
        <v>0</v>
      </c>
      <c r="C238">
        <v>-0.080530294729922</v>
      </c>
      <c r="D238">
        <v>-0.044354609121448</v>
      </c>
      <c r="E238">
        <v>0.071296355396693</v>
      </c>
      <c r="F238">
        <v>0.023851643994387</v>
      </c>
      <c r="G238">
        <v>-0.148279711762914</v>
      </c>
      <c r="H238">
        <v>3.493708165997322</v>
      </c>
      <c r="I238">
        <v>2.78018018018018</v>
      </c>
    </row>
    <row r="239" spans="1:9">
      <c r="A239" s="1" t="s">
        <v>251</v>
      </c>
      <c r="B239">
        <f>HYPERLINK("https://www.suredividend.com/sure-analysis-research-database/","Cara Therapeutics Inc")</f>
        <v>0</v>
      </c>
      <c r="C239">
        <v>-0.104982206405693</v>
      </c>
      <c r="D239">
        <v>0.040330920372285</v>
      </c>
      <c r="E239">
        <v>0.026530612244897</v>
      </c>
      <c r="F239">
        <v>-0.063314711359404</v>
      </c>
      <c r="G239">
        <v>-0.144557823129251</v>
      </c>
      <c r="H239">
        <v>-0.37125</v>
      </c>
      <c r="I239">
        <v>-0.212216131558339</v>
      </c>
    </row>
    <row r="240" spans="1:9">
      <c r="A240" s="1" t="s">
        <v>252</v>
      </c>
      <c r="B240">
        <f>HYPERLINK("https://www.suredividend.com/sure-analysis-research-database/","Carter Bankshares Inc")</f>
        <v>0</v>
      </c>
      <c r="C240">
        <v>-0.1100611450806</v>
      </c>
      <c r="D240">
        <v>-0.005590062111801001</v>
      </c>
      <c r="E240">
        <v>0.158465991316932</v>
      </c>
      <c r="F240">
        <v>-0.03496081977094601</v>
      </c>
      <c r="G240">
        <v>-0.005590062111801001</v>
      </c>
      <c r="H240">
        <v>0.3742489270386261</v>
      </c>
      <c r="I240">
        <v>0.87251461988304</v>
      </c>
    </row>
    <row r="241" spans="1:9">
      <c r="A241" s="1" t="s">
        <v>253</v>
      </c>
      <c r="B241">
        <f>HYPERLINK("https://www.suredividend.com/sure-analysis-research-database/","CarGurus Inc")</f>
        <v>0</v>
      </c>
      <c r="C241">
        <v>0.194744976816074</v>
      </c>
      <c r="D241">
        <v>0.105075053609721</v>
      </c>
      <c r="E241">
        <v>-0.333333333333333</v>
      </c>
      <c r="F241">
        <v>0.103497501784439</v>
      </c>
      <c r="G241">
        <v>-0.525475751995089</v>
      </c>
      <c r="H241">
        <v>-0.521658415841584</v>
      </c>
      <c r="I241">
        <v>-0.492782152230971</v>
      </c>
    </row>
    <row r="242" spans="1:9">
      <c r="A242" s="1" t="s">
        <v>254</v>
      </c>
      <c r="B242">
        <f>HYPERLINK("https://www.suredividend.com/sure-analysis-research-database/","Cars.com")</f>
        <v>0</v>
      </c>
      <c r="C242">
        <v>0.022878228782287</v>
      </c>
      <c r="D242">
        <v>0.161777032690695</v>
      </c>
      <c r="E242">
        <v>0.370919881305638</v>
      </c>
      <c r="F242">
        <v>0.006535947712418001</v>
      </c>
      <c r="G242">
        <v>-0.129943502824858</v>
      </c>
      <c r="H242">
        <v>0.15886287625418</v>
      </c>
      <c r="I242">
        <v>-0.556338028169014</v>
      </c>
    </row>
    <row r="243" spans="1:9">
      <c r="A243" s="1" t="s">
        <v>255</v>
      </c>
      <c r="B243">
        <f>HYPERLINK("https://www.suredividend.com/sure-analysis-research-database/","Casa Systems Inc")</f>
        <v>0</v>
      </c>
      <c r="C243">
        <v>0.207272727272727</v>
      </c>
      <c r="D243">
        <v>0.003021148036253</v>
      </c>
      <c r="E243">
        <v>-0.190243902439024</v>
      </c>
      <c r="F243">
        <v>0.216117216117216</v>
      </c>
      <c r="G243">
        <v>-0.3688212927756651</v>
      </c>
      <c r="H243">
        <v>-0.5066864784546801</v>
      </c>
      <c r="I243">
        <v>-0.82034632034632</v>
      </c>
    </row>
    <row r="244" spans="1:9">
      <c r="A244" s="1" t="s">
        <v>256</v>
      </c>
      <c r="B244">
        <f>HYPERLINK("https://www.suredividend.com/sure-analysis-research-database/","Pathward Financial Inc")</f>
        <v>0</v>
      </c>
      <c r="C244">
        <v>0.07789123723581001</v>
      </c>
      <c r="D244">
        <v>0.344884904044728</v>
      </c>
      <c r="E244">
        <v>0.108484460703627</v>
      </c>
      <c r="F244">
        <v>0.054355400696864</v>
      </c>
      <c r="G244">
        <v>-0.266283131624506</v>
      </c>
      <c r="H244">
        <v>0.188506132366957</v>
      </c>
      <c r="I244">
        <v>0.538727524204702</v>
      </c>
    </row>
    <row r="245" spans="1:9">
      <c r="A245" s="1" t="s">
        <v>257</v>
      </c>
      <c r="B245">
        <f>HYPERLINK("https://www.suredividend.com/sure-analysis-CASS/","Cass Information Systems Inc")</f>
        <v>0</v>
      </c>
      <c r="C245">
        <v>0.127519924988279</v>
      </c>
      <c r="D245">
        <v>0.363243442402256</v>
      </c>
      <c r="E245">
        <v>0.450070543972409</v>
      </c>
      <c r="F245">
        <v>0.049759930161501</v>
      </c>
      <c r="G245">
        <v>0.215183477546895</v>
      </c>
      <c r="H245">
        <v>0.272961607372062</v>
      </c>
      <c r="I245">
        <v>-0.052024351740353</v>
      </c>
    </row>
    <row r="246" spans="1:9">
      <c r="A246" s="1" t="s">
        <v>258</v>
      </c>
      <c r="B246">
        <f>HYPERLINK("https://www.suredividend.com/sure-analysis-CATC/","Cambridge Bancorp")</f>
        <v>0</v>
      </c>
      <c r="C246">
        <v>-0.053021532762213</v>
      </c>
      <c r="D246">
        <v>0.048514966974342</v>
      </c>
      <c r="E246">
        <v>0.018062519990989</v>
      </c>
      <c r="F246">
        <v>-0.015169756802311</v>
      </c>
      <c r="G246">
        <v>-0.081966477186642</v>
      </c>
      <c r="H246">
        <v>0.167365706563078</v>
      </c>
      <c r="I246">
        <v>0.230162131759688</v>
      </c>
    </row>
    <row r="247" spans="1:9">
      <c r="A247" s="1" t="s">
        <v>259</v>
      </c>
      <c r="B247">
        <f>HYPERLINK("https://www.suredividend.com/sure-analysis-research-database/","Cato Corp.")</f>
        <v>0</v>
      </c>
      <c r="C247">
        <v>0.097402813341757</v>
      </c>
      <c r="D247">
        <v>0.05603379308137801</v>
      </c>
      <c r="E247">
        <v>-0.125858689317816</v>
      </c>
      <c r="F247">
        <v>0.06109324758842401</v>
      </c>
      <c r="G247">
        <v>-0.38412536470354</v>
      </c>
      <c r="H247">
        <v>0.08680140076625001</v>
      </c>
      <c r="I247">
        <v>0.017827401147369</v>
      </c>
    </row>
    <row r="248" spans="1:9">
      <c r="A248" s="1" t="s">
        <v>260</v>
      </c>
      <c r="B248">
        <f>HYPERLINK("https://www.suredividend.com/sure-analysis-research-database/","Cathay General Bancorp")</f>
        <v>0</v>
      </c>
      <c r="C248">
        <v>-0.034410602185538</v>
      </c>
      <c r="D248">
        <v>0.027738801408593</v>
      </c>
      <c r="E248">
        <v>0.05953337670455201</v>
      </c>
      <c r="F248">
        <v>0.018141701397401</v>
      </c>
      <c r="G248">
        <v>-0.07455276363992901</v>
      </c>
      <c r="H248">
        <v>0.256132454978252</v>
      </c>
      <c r="I248">
        <v>0.121877557856519</v>
      </c>
    </row>
    <row r="249" spans="1:9">
      <c r="A249" s="1" t="s">
        <v>261</v>
      </c>
      <c r="B249">
        <f>HYPERLINK("https://www.suredividend.com/sure-analysis-research-database/","Cymabay Therapeutics Inc")</f>
        <v>0</v>
      </c>
      <c r="C249">
        <v>0.498734177215189</v>
      </c>
      <c r="D249">
        <v>0.7309941520467831</v>
      </c>
      <c r="E249">
        <v>0.720930232558139</v>
      </c>
      <c r="F249">
        <v>-0.055821371610845</v>
      </c>
      <c r="G249">
        <v>0.7885196374622351</v>
      </c>
      <c r="H249">
        <v>-0.076443057722308</v>
      </c>
      <c r="I249">
        <v>-0.357917570498915</v>
      </c>
    </row>
    <row r="250" spans="1:9">
      <c r="A250" s="1" t="s">
        <v>262</v>
      </c>
      <c r="B250">
        <f>HYPERLINK("https://www.suredividend.com/sure-analysis-research-database/","Capital Bancorp Inc")</f>
        <v>0</v>
      </c>
      <c r="C250">
        <v>-0.03990024937655801</v>
      </c>
      <c r="D250">
        <v>-0.035852915397136</v>
      </c>
      <c r="E250">
        <v>0.082875103716933</v>
      </c>
      <c r="F250">
        <v>-0.018691588785046</v>
      </c>
      <c r="G250">
        <v>-0.103598412088615</v>
      </c>
      <c r="H250">
        <v>0.625661524603085</v>
      </c>
      <c r="I250">
        <v>0.8288627798714251</v>
      </c>
    </row>
    <row r="251" spans="1:9">
      <c r="A251" s="1" t="s">
        <v>263</v>
      </c>
      <c r="B251">
        <f>HYPERLINK("https://www.suredividend.com/sure-analysis-CBRL/","Cracker Barrel Old Country Store Inc")</f>
        <v>0</v>
      </c>
      <c r="C251">
        <v>-0.010608486789431</v>
      </c>
      <c r="D251">
        <v>0.095308211930948</v>
      </c>
      <c r="E251">
        <v>0.153235966590453</v>
      </c>
      <c r="F251">
        <v>0.043487439307578</v>
      </c>
      <c r="G251">
        <v>-0.238953626671573</v>
      </c>
      <c r="H251">
        <v>-0.226867413157487</v>
      </c>
      <c r="I251">
        <v>-0.33334547148983</v>
      </c>
    </row>
    <row r="252" spans="1:9">
      <c r="A252" s="1" t="s">
        <v>264</v>
      </c>
      <c r="B252">
        <f>HYPERLINK("https://www.suredividend.com/sure-analysis-research-database/","Cabot Corp.")</f>
        <v>0</v>
      </c>
      <c r="C252">
        <v>-0.022022724084724</v>
      </c>
      <c r="D252">
        <v>0.118822764801694</v>
      </c>
      <c r="E252">
        <v>0.06826017007584401</v>
      </c>
      <c r="F252">
        <v>0.04308797127468501</v>
      </c>
      <c r="G252">
        <v>0.216132065104579</v>
      </c>
      <c r="H252">
        <v>0.5156620586656</v>
      </c>
      <c r="I252">
        <v>0.210477610851935</v>
      </c>
    </row>
    <row r="253" spans="1:9">
      <c r="A253" s="1" t="s">
        <v>265</v>
      </c>
      <c r="B253">
        <f>HYPERLINK("https://www.suredividend.com/sure-analysis-research-database/","CBTX Inc")</f>
        <v>0</v>
      </c>
      <c r="C253">
        <v>-0.008860952510038001</v>
      </c>
      <c r="D253">
        <v>0.07138540205339701</v>
      </c>
      <c r="E253">
        <v>-0.034073271734176</v>
      </c>
      <c r="F253">
        <v>0.022134006136298</v>
      </c>
      <c r="G253">
        <v>0.119394417187775</v>
      </c>
      <c r="H253">
        <v>0.799689899586532</v>
      </c>
      <c r="I253">
        <v>0.09662277676134501</v>
      </c>
    </row>
    <row r="254" spans="1:9">
      <c r="A254" s="1" t="s">
        <v>266</v>
      </c>
      <c r="B254">
        <f>HYPERLINK("https://www.suredividend.com/sure-analysis-CBU/","Community Bank System, Inc.")</f>
        <v>0</v>
      </c>
      <c r="C254">
        <v>0.032770379252703</v>
      </c>
      <c r="D254">
        <v>0.053562317072562</v>
      </c>
      <c r="E254">
        <v>0.005351087821913</v>
      </c>
      <c r="F254">
        <v>0.006989674344717</v>
      </c>
      <c r="G254">
        <v>-0.156588033369257</v>
      </c>
      <c r="H254">
        <v>-0.001103057043807</v>
      </c>
      <c r="I254">
        <v>0.32463754790553</v>
      </c>
    </row>
    <row r="255" spans="1:9">
      <c r="A255" s="1" t="s">
        <v>267</v>
      </c>
      <c r="B255">
        <f>HYPERLINK("https://www.suredividend.com/sure-analysis-research-database/","Cbiz Inc")</f>
        <v>0</v>
      </c>
      <c r="C255">
        <v>-0.077217741935483</v>
      </c>
      <c r="D255">
        <v>0.035989135355364</v>
      </c>
      <c r="E255">
        <v>0.131520395550061</v>
      </c>
      <c r="F255">
        <v>-0.023052294557097</v>
      </c>
      <c r="G255">
        <v>0.197227308396547</v>
      </c>
      <c r="H255">
        <v>0.693303736588975</v>
      </c>
      <c r="I255">
        <v>1.896835443037974</v>
      </c>
    </row>
    <row r="256" spans="1:9">
      <c r="A256" s="1" t="s">
        <v>268</v>
      </c>
      <c r="B256">
        <f>HYPERLINK("https://www.suredividend.com/sure-analysis-research-database/","Coastal Financial Corp")</f>
        <v>0</v>
      </c>
      <c r="C256">
        <v>-0.156487101669195</v>
      </c>
      <c r="D256">
        <v>0.135597548518896</v>
      </c>
      <c r="E256">
        <v>0.16018784242108</v>
      </c>
      <c r="F256">
        <v>-0.06418350168350101</v>
      </c>
      <c r="G256">
        <v>-0.164568852151042</v>
      </c>
      <c r="H256">
        <v>1.025045537340619</v>
      </c>
      <c r="I256">
        <v>1.711585365853658</v>
      </c>
    </row>
    <row r="257" spans="1:9">
      <c r="A257" s="1" t="s">
        <v>269</v>
      </c>
      <c r="B257">
        <f>HYPERLINK("https://www.suredividend.com/sure-analysis-research-database/","Capital City Bank Group, Inc.")</f>
        <v>0</v>
      </c>
      <c r="C257">
        <v>-0.041894353369763</v>
      </c>
      <c r="D257">
        <v>-0.030462404305779</v>
      </c>
      <c r="E257">
        <v>0.140346439849977</v>
      </c>
      <c r="F257">
        <v>-0.028923076923076</v>
      </c>
      <c r="G257">
        <v>0.181491464510332</v>
      </c>
      <c r="H257">
        <v>0.277732793522267</v>
      </c>
      <c r="I257">
        <v>0.494240356799598</v>
      </c>
    </row>
    <row r="258" spans="1:9">
      <c r="A258" s="1" t="s">
        <v>270</v>
      </c>
      <c r="B258">
        <f>HYPERLINK("https://www.suredividend.com/sure-analysis-research-database/","C4 Therapeutics Inc")</f>
        <v>0</v>
      </c>
      <c r="C258">
        <v>-0.089171974522292</v>
      </c>
      <c r="D258">
        <v>-0.073834196891191</v>
      </c>
      <c r="E258">
        <v>-0.276315789473684</v>
      </c>
      <c r="F258">
        <v>0.21186440677966</v>
      </c>
      <c r="G258">
        <v>-0.7362596827738841</v>
      </c>
      <c r="H258">
        <v>-0.7893341190335881</v>
      </c>
      <c r="I258">
        <v>-0.719497842291094</v>
      </c>
    </row>
    <row r="259" spans="1:9">
      <c r="A259" s="1" t="s">
        <v>271</v>
      </c>
      <c r="B259">
        <f>HYPERLINK("https://www.suredividend.com/sure-analysis-research-database/","Chase Corp.")</f>
        <v>0</v>
      </c>
      <c r="C259">
        <v>-0.05214368482039401</v>
      </c>
      <c r="D259">
        <v>0.09738264847533501</v>
      </c>
      <c r="E259">
        <v>0.172342718068383</v>
      </c>
      <c r="F259">
        <v>0.043125434732204</v>
      </c>
      <c r="G259">
        <v>-0.08026191785526601</v>
      </c>
      <c r="H259">
        <v>-0.188858569495565</v>
      </c>
      <c r="I259">
        <v>-0.187130683332384</v>
      </c>
    </row>
    <row r="260" spans="1:9">
      <c r="A260" s="1" t="s">
        <v>272</v>
      </c>
      <c r="B260">
        <f>HYPERLINK("https://www.suredividend.com/sure-analysis-research-database/","CMC Materials Inc")</f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>
      <c r="A261" s="1" t="s">
        <v>273</v>
      </c>
      <c r="B261">
        <f>HYPERLINK("https://www.suredividend.com/sure-analysis-research-database/","CNB Financial Corp (PA)")</f>
        <v>0</v>
      </c>
      <c r="C261">
        <v>-0.02655601659751</v>
      </c>
      <c r="D261">
        <v>-0.001570419927735</v>
      </c>
      <c r="E261">
        <v>-0.019029817981108</v>
      </c>
      <c r="F261">
        <v>-0.013871374527112</v>
      </c>
      <c r="G261">
        <v>-0.138640035247466</v>
      </c>
      <c r="H261">
        <v>0.085021066798632</v>
      </c>
      <c r="I261">
        <v>-0.004143036642102</v>
      </c>
    </row>
    <row r="262" spans="1:9">
      <c r="A262" s="1" t="s">
        <v>274</v>
      </c>
      <c r="B262">
        <f>HYPERLINK("https://www.suredividend.com/sure-analysis-research-database/","Clear Channel Outdoor Holdings Inc.")</f>
        <v>0</v>
      </c>
      <c r="C262">
        <v>0.156862745098039</v>
      </c>
      <c r="D262">
        <v>-0.243589743589743</v>
      </c>
      <c r="E262">
        <v>0.063063063063062</v>
      </c>
      <c r="F262">
        <v>0.123809523809523</v>
      </c>
      <c r="G262">
        <v>-0.6312500000000001</v>
      </c>
      <c r="H262">
        <v>-0.22875816993464</v>
      </c>
      <c r="I262">
        <v>-0.7348314606741571</v>
      </c>
    </row>
    <row r="263" spans="1:9">
      <c r="A263" s="1" t="s">
        <v>275</v>
      </c>
      <c r="B263">
        <f>HYPERLINK("https://www.suredividend.com/sure-analysis-CCOI/","Cogent Communications Holdings Inc")</f>
        <v>0</v>
      </c>
      <c r="C263">
        <v>0.07054890921885901</v>
      </c>
      <c r="D263">
        <v>0.195878395773842</v>
      </c>
      <c r="E263">
        <v>0.035503210315211</v>
      </c>
      <c r="F263">
        <v>0.066047652417659</v>
      </c>
      <c r="G263">
        <v>-0.065592776579163</v>
      </c>
      <c r="H263">
        <v>0.137640475696372</v>
      </c>
      <c r="I263">
        <v>0.6993741499638341</v>
      </c>
    </row>
    <row r="264" spans="1:9">
      <c r="A264" s="1" t="s">
        <v>276</v>
      </c>
      <c r="B264">
        <f>HYPERLINK("https://www.suredividend.com/sure-analysis-research-database/","CoreCard Corporation")</f>
        <v>0</v>
      </c>
      <c r="C264">
        <v>0.134871979805265</v>
      </c>
      <c r="D264">
        <v>0.458294717330862</v>
      </c>
      <c r="E264">
        <v>0.324494949494949</v>
      </c>
      <c r="F264">
        <v>0.08629616845012</v>
      </c>
      <c r="G264">
        <v>-0.158331104573415</v>
      </c>
      <c r="H264">
        <v>-0.236720834343924</v>
      </c>
      <c r="I264">
        <v>5.422448979591836</v>
      </c>
    </row>
    <row r="265" spans="1:9">
      <c r="A265" s="1" t="s">
        <v>277</v>
      </c>
      <c r="B265">
        <f>HYPERLINK("https://www.suredividend.com/sure-analysis-research-database/","Cross Country Healthcares, Inc.")</f>
        <v>0</v>
      </c>
      <c r="C265">
        <v>-0.066578773895847</v>
      </c>
      <c r="D265">
        <v>-0.103229892336922</v>
      </c>
      <c r="E265">
        <v>0.259226322810137</v>
      </c>
      <c r="F265">
        <v>0.06586375611592001</v>
      </c>
      <c r="G265">
        <v>0.09132947976878601</v>
      </c>
      <c r="H265">
        <v>2.098468271334792</v>
      </c>
      <c r="I265">
        <v>1.224666142969363</v>
      </c>
    </row>
    <row r="266" spans="1:9">
      <c r="A266" s="1" t="s">
        <v>278</v>
      </c>
      <c r="B266">
        <f>HYPERLINK("https://www.suredividend.com/sure-analysis-research-database/","Century Communities Inc")</f>
        <v>0</v>
      </c>
      <c r="C266">
        <v>0.08810136606612501</v>
      </c>
      <c r="D266">
        <v>0.222743564244094</v>
      </c>
      <c r="E266">
        <v>0.128787785431736</v>
      </c>
      <c r="F266">
        <v>0.09898020395920801</v>
      </c>
      <c r="G266">
        <v>-0.215603440155509</v>
      </c>
      <c r="H266">
        <v>0.335056404675612</v>
      </c>
      <c r="I266">
        <v>0.5906597938741071</v>
      </c>
    </row>
    <row r="267" spans="1:9">
      <c r="A267" s="1" t="s">
        <v>279</v>
      </c>
      <c r="B267">
        <f>HYPERLINK("https://www.suredividend.com/sure-analysis-research-database/","Consensus Cloud Solutions Inc")</f>
        <v>0</v>
      </c>
      <c r="C267">
        <v>-0.033535497681056</v>
      </c>
      <c r="D267">
        <v>0.142796878295718</v>
      </c>
      <c r="E267">
        <v>0.105714285714285</v>
      </c>
      <c r="F267">
        <v>0.0078125</v>
      </c>
      <c r="G267">
        <v>-0.04612676056338001</v>
      </c>
      <c r="H267">
        <v>-0.164919852034525</v>
      </c>
      <c r="I267">
        <v>-0.164919852034525</v>
      </c>
    </row>
    <row r="268" spans="1:9">
      <c r="A268" s="1" t="s">
        <v>280</v>
      </c>
      <c r="B268">
        <f>HYPERLINK("https://www.suredividend.com/sure-analysis-research-database/","ChemoCentryx Inc")</f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>
      <c r="A269" s="1" t="s">
        <v>281</v>
      </c>
      <c r="B269">
        <f>HYPERLINK("https://www.suredividend.com/sure-analysis-research-database/","Codiak Biosciences Inc")</f>
        <v>0</v>
      </c>
      <c r="C269">
        <v>-0.13638585628157</v>
      </c>
      <c r="D269">
        <v>-0.242532513934543</v>
      </c>
      <c r="E269">
        <v>-0.8338557993730401</v>
      </c>
      <c r="F269">
        <v>0.332997987927565</v>
      </c>
      <c r="G269">
        <v>-0.947472745292368</v>
      </c>
      <c r="H269">
        <v>-0.9819605173587471</v>
      </c>
      <c r="I269">
        <v>-0.956270627062706</v>
      </c>
    </row>
    <row r="270" spans="1:9">
      <c r="A270" s="1" t="s">
        <v>282</v>
      </c>
      <c r="B270">
        <f>HYPERLINK("https://www.suredividend.com/sure-analysis-research-database/","Coeur Mining Inc")</f>
        <v>0</v>
      </c>
      <c r="C270">
        <v>0.114114114114113</v>
      </c>
      <c r="D270">
        <v>0.06</v>
      </c>
      <c r="E270">
        <v>0.315602836879432</v>
      </c>
      <c r="F270">
        <v>0.104166666666666</v>
      </c>
      <c r="G270">
        <v>-0.235051546391752</v>
      </c>
      <c r="H270">
        <v>-0.613138686131386</v>
      </c>
      <c r="I270">
        <v>-0.5162972620599741</v>
      </c>
    </row>
    <row r="271" spans="1:9">
      <c r="A271" s="1" t="s">
        <v>283</v>
      </c>
      <c r="B271">
        <f>HYPERLINK("https://www.suredividend.com/sure-analysis-research-database/","Permian Resources Corp")</f>
        <v>0</v>
      </c>
      <c r="C271">
        <v>0.165137614678899</v>
      </c>
      <c r="D271">
        <v>-0.105633802816901</v>
      </c>
      <c r="E271">
        <v>-0.118055555555555</v>
      </c>
      <c r="F271">
        <v>0.274247491638795</v>
      </c>
      <c r="G271">
        <v>0.5119047619047611</v>
      </c>
      <c r="H271">
        <v>9.681244743481916</v>
      </c>
      <c r="I271">
        <v>-0.563573883161512</v>
      </c>
    </row>
    <row r="272" spans="1:9">
      <c r="A272" s="1" t="s">
        <v>284</v>
      </c>
      <c r="B272">
        <f>HYPERLINK("https://www.suredividend.com/sure-analysis-research-database/","Cardlytics Inc")</f>
        <v>0</v>
      </c>
      <c r="C272">
        <v>-0.04921259842519601</v>
      </c>
      <c r="D272">
        <v>-0.453001132502831</v>
      </c>
      <c r="E272">
        <v>-0.7460567823343841</v>
      </c>
      <c r="F272">
        <v>-0.164359861591695</v>
      </c>
      <c r="G272">
        <v>-0.9209233791748521</v>
      </c>
      <c r="H272">
        <v>-0.9671875</v>
      </c>
      <c r="I272">
        <v>-0.6387434554973821</v>
      </c>
    </row>
    <row r="273" spans="1:9">
      <c r="A273" s="1" t="s">
        <v>285</v>
      </c>
      <c r="B273">
        <f>HYPERLINK("https://www.suredividend.com/sure-analysis-research-database/","Avid Bioservices Inc")</f>
        <v>0</v>
      </c>
      <c r="C273">
        <v>0.131477184841454</v>
      </c>
      <c r="D273">
        <v>-0.187673514714047</v>
      </c>
      <c r="E273">
        <v>-0.19171270718232</v>
      </c>
      <c r="F273">
        <v>0.062454611474219</v>
      </c>
      <c r="G273">
        <v>-0.341287708239531</v>
      </c>
      <c r="H273">
        <v>0.11254752851711</v>
      </c>
      <c r="I273">
        <v>2.479191438763377</v>
      </c>
    </row>
    <row r="274" spans="1:9">
      <c r="A274" s="1" t="s">
        <v>286</v>
      </c>
      <c r="B274">
        <f>HYPERLINK("https://www.suredividend.com/sure-analysis-research-database/","Caredx Inc")</f>
        <v>0</v>
      </c>
      <c r="C274">
        <v>-0.034174125305126</v>
      </c>
      <c r="D274">
        <v>-0.305847953216374</v>
      </c>
      <c r="E274">
        <v>-0.5479817212490481</v>
      </c>
      <c r="F274">
        <v>0.04031551270815</v>
      </c>
      <c r="G274">
        <v>-0.696186332224213</v>
      </c>
      <c r="H274">
        <v>-0.8530212976721151</v>
      </c>
      <c r="I274">
        <v>0.6957142857142851</v>
      </c>
    </row>
    <row r="275" spans="1:9">
      <c r="A275" s="1" t="s">
        <v>287</v>
      </c>
      <c r="B275">
        <f>HYPERLINK("https://www.suredividend.com/sure-analysis-research-database/","Cadre Holdings Inc")</f>
        <v>0</v>
      </c>
      <c r="C275">
        <v>-0.08723678556080701</v>
      </c>
      <c r="D275">
        <v>-0.177725815692893</v>
      </c>
      <c r="E275">
        <v>-0.05770868824531501</v>
      </c>
      <c r="F275">
        <v>0.05461767626613701</v>
      </c>
      <c r="G275">
        <v>0.024122817591382</v>
      </c>
      <c r="H275">
        <v>0.412825851254182</v>
      </c>
      <c r="I275">
        <v>0.412825851254182</v>
      </c>
    </row>
    <row r="276" spans="1:9">
      <c r="A276" s="1" t="s">
        <v>288</v>
      </c>
      <c r="B276">
        <f>HYPERLINK("https://www.suredividend.com/sure-analysis-research-database/","Chromadex Corp")</f>
        <v>0</v>
      </c>
      <c r="C276">
        <v>0.232258064516128</v>
      </c>
      <c r="D276">
        <v>0.4921875</v>
      </c>
      <c r="E276">
        <v>0.005263157894736001</v>
      </c>
      <c r="F276">
        <v>0.136904761904761</v>
      </c>
      <c r="G276">
        <v>-0.422960725075528</v>
      </c>
      <c r="H276">
        <v>-0.60455486542443</v>
      </c>
      <c r="I276">
        <v>-0.696825396825396</v>
      </c>
    </row>
    <row r="277" spans="1:9">
      <c r="A277" s="1" t="s">
        <v>289</v>
      </c>
      <c r="B277">
        <f>HYPERLINK("https://www.suredividend.com/sure-analysis-research-database/","Codexis Inc.")</f>
        <v>0</v>
      </c>
      <c r="C277">
        <v>0.001785714285714</v>
      </c>
      <c r="D277">
        <v>0.038888888888888</v>
      </c>
      <c r="E277">
        <v>-0.554761904761904</v>
      </c>
      <c r="F277">
        <v>0.203862660944206</v>
      </c>
      <c r="G277">
        <v>-0.780944943381491</v>
      </c>
      <c r="H277">
        <v>-0.7618845500848891</v>
      </c>
      <c r="I277">
        <v>-0.3625</v>
      </c>
    </row>
    <row r="278" spans="1:9">
      <c r="A278" s="1" t="s">
        <v>290</v>
      </c>
      <c r="B278">
        <f>HYPERLINK("https://www.suredividend.com/sure-analysis-research-database/","Cadiz Inc.")</f>
        <v>0</v>
      </c>
      <c r="C278">
        <v>0.424528301886792</v>
      </c>
      <c r="D278">
        <v>0.7976190476190471</v>
      </c>
      <c r="E278">
        <v>0.285106382978723</v>
      </c>
      <c r="F278">
        <v>0.208</v>
      </c>
      <c r="G278">
        <v>-0.259803921568627</v>
      </c>
      <c r="H278">
        <v>-0.712380952380952</v>
      </c>
      <c r="I278">
        <v>-0.784285714285714</v>
      </c>
    </row>
    <row r="279" spans="1:9">
      <c r="A279" s="1" t="s">
        <v>291</v>
      </c>
      <c r="B279">
        <f>HYPERLINK("https://www.suredividend.com/sure-analysis-research-database/","Ceco Environmental Corp.")</f>
        <v>0</v>
      </c>
      <c r="C279">
        <v>0.211018711018711</v>
      </c>
      <c r="D279">
        <v>0.4472049689440991</v>
      </c>
      <c r="E279">
        <v>1.72196261682243</v>
      </c>
      <c r="F279">
        <v>0.8699839486356341</v>
      </c>
      <c r="G279">
        <v>0.551264980026631</v>
      </c>
      <c r="H279">
        <v>0.95142378559464</v>
      </c>
      <c r="I279">
        <v>0.365767878077374</v>
      </c>
    </row>
    <row r="280" spans="1:9">
      <c r="A280" s="1" t="s">
        <v>292</v>
      </c>
      <c r="B280">
        <f>HYPERLINK("https://www.suredividend.com/sure-analysis-research-database/","Consol Energy Inc")</f>
        <v>0</v>
      </c>
      <c r="C280">
        <v>-0.146341463414634</v>
      </c>
      <c r="D280">
        <v>-0.138939385457577</v>
      </c>
      <c r="E280">
        <v>0.226400446497887</v>
      </c>
      <c r="F280">
        <v>-0.10076923076923</v>
      </c>
      <c r="G280">
        <v>1.611321833688509</v>
      </c>
      <c r="H280">
        <v>7.124148667055847</v>
      </c>
      <c r="I280">
        <v>0.801121656600517</v>
      </c>
    </row>
    <row r="281" spans="1:9">
      <c r="A281" s="1" t="s">
        <v>293</v>
      </c>
      <c r="B281">
        <f>HYPERLINK("https://www.suredividend.com/sure-analysis-research-database/","Celcuity Inc")</f>
        <v>0</v>
      </c>
      <c r="C281">
        <v>0.153518123667377</v>
      </c>
      <c r="D281">
        <v>0.077689243027888</v>
      </c>
      <c r="E281">
        <v>0.147401908801696</v>
      </c>
      <c r="F281">
        <v>-0.227694503925767</v>
      </c>
      <c r="G281">
        <v>-0.146014206787687</v>
      </c>
      <c r="H281">
        <v>-0.04669603524229</v>
      </c>
      <c r="I281">
        <v>-0.461155378486055</v>
      </c>
    </row>
    <row r="282" spans="1:9">
      <c r="A282" s="1" t="s">
        <v>294</v>
      </c>
      <c r="B282">
        <f>HYPERLINK("https://www.suredividend.com/sure-analysis-research-database/","Celsius Holdings Inc")</f>
        <v>0</v>
      </c>
      <c r="C282">
        <v>-0.141287146122735</v>
      </c>
      <c r="D282">
        <v>0.141404697908145</v>
      </c>
      <c r="E282">
        <v>0.244996813256851</v>
      </c>
      <c r="F282">
        <v>-0.06122645136485901</v>
      </c>
      <c r="G282">
        <v>0.788827838827838</v>
      </c>
      <c r="H282">
        <v>0.6684318414759141</v>
      </c>
      <c r="I282">
        <v>17.22201492537313</v>
      </c>
    </row>
    <row r="283" spans="1:9">
      <c r="A283" s="1" t="s">
        <v>295</v>
      </c>
      <c r="B283">
        <f>HYPERLINK("https://www.suredividend.com/sure-analysis-research-database/","Central Garden &amp; Pet Co.")</f>
        <v>0</v>
      </c>
      <c r="C283">
        <v>-0.044177732379979</v>
      </c>
      <c r="D283">
        <v>0.033977900552486</v>
      </c>
      <c r="E283">
        <v>-0.119708372530573</v>
      </c>
      <c r="F283">
        <v>-0.0005340453938580001</v>
      </c>
      <c r="G283">
        <v>-0.254530969926309</v>
      </c>
      <c r="H283">
        <v>-0.085735222276502</v>
      </c>
      <c r="I283">
        <v>0.006724045185583001</v>
      </c>
    </row>
    <row r="284" spans="1:9">
      <c r="A284" s="1" t="s">
        <v>296</v>
      </c>
      <c r="B284">
        <f>HYPERLINK("https://www.suredividend.com/sure-analysis-research-database/","Central Garden &amp; Pet Co.")</f>
        <v>0</v>
      </c>
      <c r="C284">
        <v>-0.041867954911433</v>
      </c>
      <c r="D284">
        <v>0.03930131004366801</v>
      </c>
      <c r="E284">
        <v>-0.106382978723404</v>
      </c>
      <c r="F284">
        <v>-0.002793296089385</v>
      </c>
      <c r="G284">
        <v>-0.221204188481675</v>
      </c>
      <c r="H284">
        <v>-0.060279020794945</v>
      </c>
      <c r="I284">
        <v>-0.012448132780082</v>
      </c>
    </row>
    <row r="285" spans="1:9">
      <c r="A285" s="1" t="s">
        <v>297</v>
      </c>
      <c r="B285">
        <f>HYPERLINK("https://www.suredividend.com/sure-analysis-research-database/","Century Aluminum Co.")</f>
        <v>0</v>
      </c>
      <c r="C285">
        <v>0.238709677419354</v>
      </c>
      <c r="D285">
        <v>0.5789473684210521</v>
      </c>
      <c r="E285">
        <v>0.318681318681318</v>
      </c>
      <c r="F285">
        <v>0.173594132029339</v>
      </c>
      <c r="G285">
        <v>-0.4526795895096921</v>
      </c>
      <c r="H285">
        <v>-0.276563677467972</v>
      </c>
      <c r="I285">
        <v>-0.5097037793667001</v>
      </c>
    </row>
    <row r="286" spans="1:9">
      <c r="A286" s="1" t="s">
        <v>298</v>
      </c>
      <c r="B286">
        <f>HYPERLINK("https://www.suredividend.com/sure-analysis-research-database/","Cerevel Therapeutics Holdings Inc")</f>
        <v>0</v>
      </c>
      <c r="C286">
        <v>0.156321839080459</v>
      </c>
      <c r="D286">
        <v>0.111192930780559</v>
      </c>
      <c r="E286">
        <v>0.037113402061855</v>
      </c>
      <c r="F286">
        <v>-0.043119847812301</v>
      </c>
      <c r="G286">
        <v>-0.024563671622495</v>
      </c>
      <c r="H286">
        <v>0.921069382558879</v>
      </c>
      <c r="I286">
        <v>2.054655870445344</v>
      </c>
    </row>
    <row r="287" spans="1:9">
      <c r="A287" s="1" t="s">
        <v>299</v>
      </c>
      <c r="B287">
        <f>HYPERLINK("https://www.suredividend.com/sure-analysis-research-database/","Cerus Corp.")</f>
        <v>0</v>
      </c>
      <c r="C287">
        <v>-0.309644670050761</v>
      </c>
      <c r="D287">
        <v>-0.246537396121883</v>
      </c>
      <c r="E287">
        <v>-0.5302245250431771</v>
      </c>
      <c r="F287">
        <v>-0.254794520547945</v>
      </c>
      <c r="G287">
        <v>-0.547420965058236</v>
      </c>
      <c r="H287">
        <v>-0.63018354860639</v>
      </c>
      <c r="I287">
        <v>-0.356973995271867</v>
      </c>
    </row>
    <row r="288" spans="1:9">
      <c r="A288" s="1" t="s">
        <v>300</v>
      </c>
      <c r="B288">
        <f>HYPERLINK("https://www.suredividend.com/sure-analysis-research-database/","Ceva Inc.")</f>
        <v>0</v>
      </c>
      <c r="C288">
        <v>0.029861888764464</v>
      </c>
      <c r="D288">
        <v>0.029861888764464</v>
      </c>
      <c r="E288">
        <v>-0.196797671033478</v>
      </c>
      <c r="F288">
        <v>0.07857701329163401</v>
      </c>
      <c r="G288">
        <v>-0.291474062660503</v>
      </c>
      <c r="H288">
        <v>-0.4580632488705551</v>
      </c>
      <c r="I288">
        <v>-0.432304526748971</v>
      </c>
    </row>
    <row r="289" spans="1:9">
      <c r="A289" s="1" t="s">
        <v>301</v>
      </c>
      <c r="B289">
        <f>HYPERLINK("https://www.suredividend.com/sure-analysis-research-database/","Crossfirst Bankshares Inc")</f>
        <v>0</v>
      </c>
      <c r="C289">
        <v>-0.081183611532625</v>
      </c>
      <c r="D289">
        <v>-0.06051202482544601</v>
      </c>
      <c r="E289">
        <v>-0.081183611532625</v>
      </c>
      <c r="F289">
        <v>-0.024174053182917</v>
      </c>
      <c r="G289">
        <v>-0.244069912609238</v>
      </c>
      <c r="H289">
        <v>0.035928143712574</v>
      </c>
      <c r="I289">
        <v>-0.170547945205479</v>
      </c>
    </row>
    <row r="290" spans="1:9">
      <c r="A290" s="1" t="s">
        <v>302</v>
      </c>
      <c r="B290">
        <f>HYPERLINK("https://www.suredividend.com/sure-analysis-research-database/","Capitol Federal Financial")</f>
        <v>0</v>
      </c>
      <c r="C290">
        <v>0.06326034063260301</v>
      </c>
      <c r="D290">
        <v>0.108714956234935</v>
      </c>
      <c r="E290">
        <v>0.005267879735915</v>
      </c>
      <c r="F290">
        <v>0.010404624277456</v>
      </c>
      <c r="G290">
        <v>-0.180120261536008</v>
      </c>
      <c r="H290">
        <v>-0.221852240958706</v>
      </c>
      <c r="I290">
        <v>-0.06999510523739501</v>
      </c>
    </row>
    <row r="291" spans="1:9">
      <c r="A291" s="1" t="s">
        <v>303</v>
      </c>
      <c r="B291">
        <f>HYPERLINK("https://www.suredividend.com/sure-analysis-research-database/","Cullinan Oncology Inc")</f>
        <v>0</v>
      </c>
      <c r="C291">
        <v>-0.099570815450643</v>
      </c>
      <c r="D291">
        <v>-0.168120539254559</v>
      </c>
      <c r="E291">
        <v>-0.263342696629213</v>
      </c>
      <c r="F291">
        <v>-0.005687203791469001</v>
      </c>
      <c r="G291">
        <v>-0.285908781484002</v>
      </c>
      <c r="H291">
        <v>-0.6492811768639251</v>
      </c>
      <c r="I291">
        <v>-0.6492811768639251</v>
      </c>
    </row>
    <row r="292" spans="1:9">
      <c r="A292" s="1" t="s">
        <v>304</v>
      </c>
      <c r="B292">
        <f>HYPERLINK("https://www.suredividend.com/sure-analysis-research-database/","City Holding Co.")</f>
        <v>0</v>
      </c>
      <c r="C292">
        <v>-0.033976996939959</v>
      </c>
      <c r="D292">
        <v>0.028918741830744</v>
      </c>
      <c r="E292">
        <v>0.14859320855843</v>
      </c>
      <c r="F292">
        <v>-0.016543130304006</v>
      </c>
      <c r="G292">
        <v>0.09706148097907501</v>
      </c>
      <c r="H292">
        <v>0.34847116805147</v>
      </c>
      <c r="I292">
        <v>0.582535583282339</v>
      </c>
    </row>
    <row r="293" spans="1:9">
      <c r="A293" s="1" t="s">
        <v>305</v>
      </c>
      <c r="B293">
        <f>HYPERLINK("https://www.suredividend.com/sure-analysis-CHCT/","Community Healthcare Trust Inc")</f>
        <v>0</v>
      </c>
      <c r="C293">
        <v>0.079577866514546</v>
      </c>
      <c r="D293">
        <v>0.227150999552584</v>
      </c>
      <c r="E293">
        <v>0.086541525406699</v>
      </c>
      <c r="F293">
        <v>0.05726256983240201</v>
      </c>
      <c r="G293">
        <v>-0.166018504033297</v>
      </c>
      <c r="H293">
        <v>-0.11216301484576</v>
      </c>
      <c r="I293">
        <v>0.7668751750536831</v>
      </c>
    </row>
    <row r="294" spans="1:9">
      <c r="A294" s="1" t="s">
        <v>306</v>
      </c>
      <c r="B294">
        <f>HYPERLINK("https://www.suredividend.com/sure-analysis-research-database/","Chefs` Warehouse Inc")</f>
        <v>0</v>
      </c>
      <c r="C294">
        <v>0.085887708649468</v>
      </c>
      <c r="D294">
        <v>0.16889905259719</v>
      </c>
      <c r="E294">
        <v>-0.09805898663977801</v>
      </c>
      <c r="F294">
        <v>0.075120192307692</v>
      </c>
      <c r="G294">
        <v>0.124803520905375</v>
      </c>
      <c r="H294">
        <v>0.40810704447068</v>
      </c>
      <c r="I294">
        <v>0.766913580246913</v>
      </c>
    </row>
    <row r="295" spans="1:9">
      <c r="A295" s="1" t="s">
        <v>307</v>
      </c>
      <c r="B295">
        <f>HYPERLINK("https://www.suredividend.com/sure-analysis-research-database/","Chesapeake Energy Corp.")</f>
        <v>0</v>
      </c>
      <c r="C295">
        <v>-0.058382601351351</v>
      </c>
      <c r="D295">
        <v>-0.107391268667321</v>
      </c>
      <c r="E295">
        <v>0.149632707881925</v>
      </c>
      <c r="F295">
        <v>-0.05489032531524801</v>
      </c>
      <c r="G295">
        <v>0.315828297611179</v>
      </c>
      <c r="H295">
        <v>1.068907925594472</v>
      </c>
      <c r="I295">
        <v>1.068907925594472</v>
      </c>
    </row>
    <row r="296" spans="1:9">
      <c r="A296" s="1" t="s">
        <v>308</v>
      </c>
      <c r="B296">
        <f>HYPERLINK("https://www.suredividend.com/sure-analysis-research-database/","Coherus Biosciences Inc")</f>
        <v>0</v>
      </c>
      <c r="C296">
        <v>0.295815295815296</v>
      </c>
      <c r="D296">
        <v>0.025114155251141</v>
      </c>
      <c r="E296">
        <v>-0.02391304347826</v>
      </c>
      <c r="F296">
        <v>0.133838383838383</v>
      </c>
      <c r="G296">
        <v>-0.387866394001363</v>
      </c>
      <c r="H296">
        <v>-0.506050605060506</v>
      </c>
      <c r="I296">
        <v>-0.269918699186991</v>
      </c>
    </row>
    <row r="297" spans="1:9">
      <c r="A297" s="1" t="s">
        <v>309</v>
      </c>
      <c r="B297">
        <f>HYPERLINK("https://www.suredividend.com/sure-analysis-research-database/","Chico`s Fas, Inc.")</f>
        <v>0</v>
      </c>
      <c r="C297">
        <v>-0.143872113676731</v>
      </c>
      <c r="D297">
        <v>-0.026262626262626</v>
      </c>
      <c r="E297">
        <v>-0.054901960784313</v>
      </c>
      <c r="F297">
        <v>-0.020325203252032</v>
      </c>
      <c r="G297">
        <v>-0.012295081967213</v>
      </c>
      <c r="H297">
        <v>1.818713450292397</v>
      </c>
      <c r="I297">
        <v>-0.321566309151817</v>
      </c>
    </row>
    <row r="298" spans="1:9">
      <c r="A298" s="1" t="s">
        <v>310</v>
      </c>
      <c r="B298">
        <f>HYPERLINK("https://www.suredividend.com/sure-analysis-research-database/","Chuy`s Holdings Inc")</f>
        <v>0</v>
      </c>
      <c r="C298">
        <v>0.027179317202518</v>
      </c>
      <c r="D298">
        <v>0.304842105263157</v>
      </c>
      <c r="E298">
        <v>0.5117073170731701</v>
      </c>
      <c r="F298">
        <v>0.09505300353356801</v>
      </c>
      <c r="G298">
        <v>0.046959459459459</v>
      </c>
      <c r="H298">
        <v>0.089279437609841</v>
      </c>
      <c r="I298">
        <v>0.07979094076655001</v>
      </c>
    </row>
    <row r="299" spans="1:9">
      <c r="A299" s="1" t="s">
        <v>311</v>
      </c>
      <c r="B299">
        <f>HYPERLINK("https://www.suredividend.com/sure-analysis-research-database/","ChampionX Corporation")</f>
        <v>0</v>
      </c>
      <c r="C299">
        <v>0.120021919106648</v>
      </c>
      <c r="D299">
        <v>0.4212821139280941</v>
      </c>
      <c r="E299">
        <v>0.5959270885541691</v>
      </c>
      <c r="F299">
        <v>0.046227700650909</v>
      </c>
      <c r="G299">
        <v>0.338827320043904</v>
      </c>
      <c r="H299">
        <v>0.722645527955262</v>
      </c>
      <c r="I299">
        <v>-0.203947368421052</v>
      </c>
    </row>
    <row r="300" spans="1:9">
      <c r="A300" s="1" t="s">
        <v>312</v>
      </c>
      <c r="B300">
        <f>HYPERLINK("https://www.suredividend.com/sure-analysis-research-database/","Citizens, Inc.")</f>
        <v>0</v>
      </c>
      <c r="C300">
        <v>-0.181494661921708</v>
      </c>
      <c r="D300">
        <v>-0.30722891566265</v>
      </c>
      <c r="E300">
        <v>-0.440389294403893</v>
      </c>
      <c r="F300">
        <v>0.07981220657276999</v>
      </c>
      <c r="G300">
        <v>-0.5668549905838041</v>
      </c>
      <c r="H300">
        <v>-0.624183006535947</v>
      </c>
      <c r="I300">
        <v>-0.6900269541778971</v>
      </c>
    </row>
    <row r="301" spans="1:9">
      <c r="A301" s="1" t="s">
        <v>313</v>
      </c>
      <c r="B301">
        <f>HYPERLINK("https://www.suredividend.com/sure-analysis-CIM/","Chimera Investment Corp")</f>
        <v>0</v>
      </c>
      <c r="C301">
        <v>-0.036747458952306</v>
      </c>
      <c r="D301">
        <v>0.219632922169204</v>
      </c>
      <c r="E301">
        <v>-0.276893459172653</v>
      </c>
      <c r="F301">
        <v>0.12</v>
      </c>
      <c r="G301">
        <v>-0.528403001071811</v>
      </c>
      <c r="H301">
        <v>-0.233268194321703</v>
      </c>
      <c r="I301">
        <v>-0.388537055051517</v>
      </c>
    </row>
    <row r="302" spans="1:9">
      <c r="A302" s="1" t="s">
        <v>314</v>
      </c>
      <c r="B302">
        <f>HYPERLINK("https://www.suredividend.com/sure-analysis-research-database/","CinCor Pharma Inc")</f>
        <v>0</v>
      </c>
      <c r="C302">
        <v>1.407035175879396</v>
      </c>
      <c r="D302">
        <v>-0.141833383099432</v>
      </c>
      <c r="E302">
        <v>0.422772277227722</v>
      </c>
      <c r="F302">
        <v>1.338486574450773</v>
      </c>
      <c r="G302">
        <v>0.796249999999999</v>
      </c>
      <c r="H302">
        <v>0.796249999999999</v>
      </c>
      <c r="I302">
        <v>0.796249999999999</v>
      </c>
    </row>
    <row r="303" spans="1:9">
      <c r="A303" s="1" t="s">
        <v>315</v>
      </c>
      <c r="B303">
        <f>HYPERLINK("https://www.suredividend.com/sure-analysis-CIO/","City Office REIT Inc")</f>
        <v>0</v>
      </c>
      <c r="C303">
        <v>-0.120958319228627</v>
      </c>
      <c r="D303">
        <v>-0.102784155502552</v>
      </c>
      <c r="E303">
        <v>-0.340363987970861</v>
      </c>
      <c r="F303">
        <v>-0.0160608208864</v>
      </c>
      <c r="G303">
        <v>-0.588731761147668</v>
      </c>
      <c r="H303">
        <v>-0.061323009829872</v>
      </c>
      <c r="I303">
        <v>-0.11678223470552</v>
      </c>
    </row>
    <row r="304" spans="1:9">
      <c r="A304" s="1" t="s">
        <v>316</v>
      </c>
      <c r="B304">
        <f>HYPERLINK("https://www.suredividend.com/sure-analysis-research-database/","Circor International Inc")</f>
        <v>0</v>
      </c>
      <c r="C304">
        <v>-0.044770358934774</v>
      </c>
      <c r="D304">
        <v>0.399095534200113</v>
      </c>
      <c r="E304">
        <v>0.597805035506778</v>
      </c>
      <c r="F304">
        <v>0.032971619365609</v>
      </c>
      <c r="G304">
        <v>-0.03659011288439</v>
      </c>
      <c r="H304">
        <v>-0.3502231556839061</v>
      </c>
      <c r="I304">
        <v>-0.513465696874385</v>
      </c>
    </row>
    <row r="305" spans="1:9">
      <c r="A305" s="1" t="s">
        <v>317</v>
      </c>
      <c r="B305">
        <f>HYPERLINK("https://www.suredividend.com/sure-analysis-research-database/","Civista Bancshares Inc")</f>
        <v>0</v>
      </c>
      <c r="C305">
        <v>-0.027984258854394</v>
      </c>
      <c r="D305">
        <v>0.07875440988785401</v>
      </c>
      <c r="E305">
        <v>0.054199012666511</v>
      </c>
      <c r="F305">
        <v>0.009995456610631</v>
      </c>
      <c r="G305">
        <v>-0.110504687556268</v>
      </c>
      <c r="H305">
        <v>0.234403371703676</v>
      </c>
      <c r="I305">
        <v>0.129395268021805</v>
      </c>
    </row>
    <row r="306" spans="1:9">
      <c r="A306" s="1" t="s">
        <v>318</v>
      </c>
      <c r="B306">
        <f>HYPERLINK("https://www.suredividend.com/sure-analysis-research-database/","Civitas Resources Inc")</f>
        <v>0</v>
      </c>
      <c r="C306">
        <v>0.035162278306702</v>
      </c>
      <c r="D306">
        <v>-0.107585679174847</v>
      </c>
      <c r="E306">
        <v>0.156423167636473</v>
      </c>
      <c r="F306">
        <v>-0.021577766269635</v>
      </c>
      <c r="G306">
        <v>0.088929916947</v>
      </c>
      <c r="H306">
        <v>1.435733255408204</v>
      </c>
      <c r="I306">
        <v>1.066523988522552</v>
      </c>
    </row>
    <row r="307" spans="1:9">
      <c r="A307" s="1" t="s">
        <v>319</v>
      </c>
      <c r="B307">
        <f>HYPERLINK("https://www.suredividend.com/sure-analysis-research-database/","Compx International, Inc.")</f>
        <v>0</v>
      </c>
      <c r="C307">
        <v>-0.07165271966527101</v>
      </c>
      <c r="D307">
        <v>0.031658849308062</v>
      </c>
      <c r="E307">
        <v>-0.137734208391424</v>
      </c>
      <c r="F307">
        <v>-0.039502164502164</v>
      </c>
      <c r="G307">
        <v>-0.116110687840172</v>
      </c>
      <c r="H307">
        <v>0.470771015453453</v>
      </c>
      <c r="I307">
        <v>0.5865496344232111</v>
      </c>
    </row>
    <row r="308" spans="1:9">
      <c r="A308" s="1" t="s">
        <v>320</v>
      </c>
      <c r="B308">
        <f>HYPERLINK("https://www.suredividend.com/sure-analysis-research-database/","Clarus Corp")</f>
        <v>0</v>
      </c>
      <c r="C308">
        <v>0.066499372647427</v>
      </c>
      <c r="D308">
        <v>-0.339785313718484</v>
      </c>
      <c r="E308">
        <v>-0.598296778340162</v>
      </c>
      <c r="F308">
        <v>0.084183673469387</v>
      </c>
      <c r="G308">
        <v>-0.6631635677714901</v>
      </c>
      <c r="H308">
        <v>-0.472269304078427</v>
      </c>
      <c r="I308">
        <v>0.256708606236231</v>
      </c>
    </row>
    <row r="309" spans="1:9">
      <c r="A309" s="1" t="s">
        <v>321</v>
      </c>
      <c r="B309">
        <f>HYPERLINK("https://www.suredividend.com/sure-analysis-research-database/","Columbia Financial, Inc")</f>
        <v>0</v>
      </c>
      <c r="C309">
        <v>0.029843675982946</v>
      </c>
      <c r="D309">
        <v>0.02935606060606</v>
      </c>
      <c r="E309">
        <v>-0.007305936073059001</v>
      </c>
      <c r="F309">
        <v>0.00555041628122</v>
      </c>
      <c r="G309">
        <v>0.033761293390394</v>
      </c>
      <c r="H309">
        <v>0.358749999999999</v>
      </c>
      <c r="I309">
        <v>0.409857328145265</v>
      </c>
    </row>
    <row r="310" spans="1:9">
      <c r="A310" s="1" t="s">
        <v>322</v>
      </c>
      <c r="B310">
        <f>HYPERLINK("https://www.suredividend.com/sure-analysis-research-database/","Chatham Lodging Trust")</f>
        <v>0</v>
      </c>
      <c r="C310">
        <v>-0.09316929773519</v>
      </c>
      <c r="D310">
        <v>0.140825387167615</v>
      </c>
      <c r="E310">
        <v>0.112439858720137</v>
      </c>
      <c r="F310">
        <v>-0.02200488997555</v>
      </c>
      <c r="G310">
        <v>-0.120904881908222</v>
      </c>
      <c r="H310">
        <v>0.030741876465586</v>
      </c>
      <c r="I310">
        <v>-0.3725096476641671</v>
      </c>
    </row>
    <row r="311" spans="1:9">
      <c r="A311" s="1" t="s">
        <v>323</v>
      </c>
      <c r="B311">
        <f>HYPERLINK("https://www.suredividend.com/sure-analysis-research-database/","Celldex Therapeutics Inc.")</f>
        <v>0</v>
      </c>
      <c r="C311">
        <v>0.207267833109017</v>
      </c>
      <c r="D311">
        <v>0.597791236195226</v>
      </c>
      <c r="E311">
        <v>0.677890011223344</v>
      </c>
      <c r="F311">
        <v>0.006282252636302</v>
      </c>
      <c r="G311">
        <v>0.226750547045951</v>
      </c>
      <c r="H311">
        <v>1.55847119224187</v>
      </c>
      <c r="I311">
        <v>0.045454545454545</v>
      </c>
    </row>
    <row r="312" spans="1:9">
      <c r="A312" s="1" t="s">
        <v>324</v>
      </c>
      <c r="B312">
        <f>HYPERLINK("https://www.suredividend.com/sure-analysis-research-database/","Clearfield Inc")</f>
        <v>0</v>
      </c>
      <c r="C312">
        <v>-0.04081039162466001</v>
      </c>
      <c r="D312">
        <v>-0.000706927893354</v>
      </c>
      <c r="E312">
        <v>0.367468214483139</v>
      </c>
      <c r="F312">
        <v>0.051094115147652</v>
      </c>
      <c r="G312">
        <v>0.37928631168107</v>
      </c>
      <c r="H312">
        <v>2.823415765069552</v>
      </c>
      <c r="I312">
        <v>6.947791164658635</v>
      </c>
    </row>
    <row r="313" spans="1:9">
      <c r="A313" s="1" t="s">
        <v>325</v>
      </c>
      <c r="B313">
        <f>HYPERLINK("https://www.suredividend.com/sure-analysis-research-database/","Clean Energy Fuels Corp")</f>
        <v>0</v>
      </c>
      <c r="C313">
        <v>-0.021818181818181</v>
      </c>
      <c r="D313">
        <v>0.009380863039399001</v>
      </c>
      <c r="E313">
        <v>0.054901960784313</v>
      </c>
      <c r="F313">
        <v>0.034615384615384</v>
      </c>
      <c r="G313">
        <v>-0.132258064516129</v>
      </c>
      <c r="H313">
        <v>-0.4751219512195121</v>
      </c>
      <c r="I313">
        <v>1.574162679425837</v>
      </c>
    </row>
    <row r="314" spans="1:9">
      <c r="A314" s="1" t="s">
        <v>326</v>
      </c>
      <c r="B314">
        <f>HYPERLINK("https://www.suredividend.com/sure-analysis-research-database/","Clene Inc")</f>
        <v>0</v>
      </c>
      <c r="C314">
        <v>0.04</v>
      </c>
      <c r="D314">
        <v>-0.398843930635838</v>
      </c>
      <c r="E314">
        <v>-0.628571428571428</v>
      </c>
      <c r="F314">
        <v>0.04</v>
      </c>
      <c r="G314">
        <v>-0.7340153452685421</v>
      </c>
      <c r="H314">
        <v>-0.8500230733733271</v>
      </c>
      <c r="I314">
        <v>-0.8845726970033291</v>
      </c>
    </row>
    <row r="315" spans="1:9">
      <c r="A315" s="1" t="s">
        <v>327</v>
      </c>
      <c r="B315">
        <f>HYPERLINK("https://www.suredividend.com/sure-analysis-CLPR/","Clipper Realty Inc")</f>
        <v>0</v>
      </c>
      <c r="C315">
        <v>-0.07307171853856501</v>
      </c>
      <c r="D315">
        <v>0.03714021832937101</v>
      </c>
      <c r="E315">
        <v>-0.143771405714857</v>
      </c>
      <c r="F315">
        <v>0.070312499999999</v>
      </c>
      <c r="G315">
        <v>-0.270111880660628</v>
      </c>
      <c r="H315">
        <v>0.04608900155768</v>
      </c>
      <c r="I315">
        <v>-0.13587566701568</v>
      </c>
    </row>
    <row r="316" spans="1:9">
      <c r="A316" s="1" t="s">
        <v>328</v>
      </c>
      <c r="B316">
        <f>HYPERLINK("https://www.suredividend.com/sure-analysis-research-database/","ClearPoint Neuro Inc")</f>
        <v>0</v>
      </c>
      <c r="C316">
        <v>-0.06131549609810401</v>
      </c>
      <c r="D316">
        <v>-0.151209677419354</v>
      </c>
      <c r="E316">
        <v>-0.408707865168539</v>
      </c>
      <c r="F316">
        <v>-0.005903187721369001</v>
      </c>
      <c r="G316">
        <v>-0.183317167798254</v>
      </c>
      <c r="H316">
        <v>-0.461980830670926</v>
      </c>
      <c r="I316">
        <v>6.321739130434783</v>
      </c>
    </row>
    <row r="317" spans="1:9">
      <c r="A317" s="1" t="s">
        <v>329</v>
      </c>
      <c r="B317">
        <f>HYPERLINK("https://www.suredividend.com/sure-analysis-research-database/","Cleanspark Inc")</f>
        <v>0</v>
      </c>
      <c r="C317">
        <v>0.037558685446009</v>
      </c>
      <c r="D317">
        <v>-0.268211920529801</v>
      </c>
      <c r="E317">
        <v>-0.5174672489082971</v>
      </c>
      <c r="F317">
        <v>0.08333333333333301</v>
      </c>
      <c r="G317">
        <v>-0.728501228501228</v>
      </c>
      <c r="H317">
        <v>-0.9431876606683801</v>
      </c>
      <c r="I317">
        <v>-0.5666666666666661</v>
      </c>
    </row>
    <row r="318" spans="1:9">
      <c r="A318" s="1" t="s">
        <v>330</v>
      </c>
      <c r="B318">
        <f>HYPERLINK("https://www.suredividend.com/sure-analysis-research-database/","Clovis Oncology Inc")</f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>
      <c r="A319" s="1" t="s">
        <v>331</v>
      </c>
      <c r="B319">
        <f>HYPERLINK("https://www.suredividend.com/sure-analysis-research-database/","Clearwater Paper Corp")</f>
        <v>0</v>
      </c>
      <c r="C319">
        <v>-0.065577953559581</v>
      </c>
      <c r="D319">
        <v>-0.040607807178412</v>
      </c>
      <c r="E319">
        <v>0.09117997616209701</v>
      </c>
      <c r="F319">
        <v>-0.031473155249933</v>
      </c>
      <c r="G319">
        <v>-0.006511123168746</v>
      </c>
      <c r="H319">
        <v>-0.071265533857469</v>
      </c>
      <c r="I319">
        <v>-0.269790628115653</v>
      </c>
    </row>
    <row r="320" spans="1:9">
      <c r="A320" s="1" t="s">
        <v>332</v>
      </c>
      <c r="B320">
        <f>HYPERLINK("https://www.suredividend.com/sure-analysis-research-database/","Cambium Networks Corp")</f>
        <v>0</v>
      </c>
      <c r="C320">
        <v>0.066957787481804</v>
      </c>
      <c r="D320">
        <v>0.262342135476463</v>
      </c>
      <c r="E320">
        <v>0.382149591451916</v>
      </c>
      <c r="F320">
        <v>0.014766958929395</v>
      </c>
      <c r="G320">
        <v>-0.075662042875157</v>
      </c>
      <c r="H320">
        <v>-0.175168792198049</v>
      </c>
      <c r="I320">
        <v>1.26701030927835</v>
      </c>
    </row>
    <row r="321" spans="1:9">
      <c r="A321" s="1" t="s">
        <v>333</v>
      </c>
      <c r="B321">
        <f>HYPERLINK("https://www.suredividend.com/sure-analysis-research-database/","Commercial Metals Co.")</f>
        <v>0</v>
      </c>
      <c r="C321">
        <v>0.049197415051073</v>
      </c>
      <c r="D321">
        <v>0.312317480183562</v>
      </c>
      <c r="E321">
        <v>0.4860591530082881</v>
      </c>
      <c r="F321">
        <v>0.042028985507246</v>
      </c>
      <c r="G321">
        <v>0.43413194127838</v>
      </c>
      <c r="H321">
        <v>1.304128478167318</v>
      </c>
      <c r="I321">
        <v>1.235458195643677</v>
      </c>
    </row>
    <row r="322" spans="1:9">
      <c r="A322" s="1" t="s">
        <v>334</v>
      </c>
      <c r="B322">
        <f>HYPERLINK("https://www.suredividend.com/sure-analysis-research-database/","Columbus Mckinnon Corp.")</f>
        <v>0</v>
      </c>
      <c r="C322">
        <v>0.078443677439598</v>
      </c>
      <c r="D322">
        <v>0.387112006166735</v>
      </c>
      <c r="E322">
        <v>0.214140122438454</v>
      </c>
      <c r="F322">
        <v>0.058515552817985</v>
      </c>
      <c r="G322">
        <v>-0.29305000483367</v>
      </c>
      <c r="H322">
        <v>-0.175174108578477</v>
      </c>
      <c r="I322">
        <v>-0.18536356439586</v>
      </c>
    </row>
    <row r="323" spans="1:9">
      <c r="A323" s="1" t="s">
        <v>335</v>
      </c>
      <c r="B323">
        <f>HYPERLINK("https://www.suredividend.com/sure-analysis-CMP/","Compass Minerals International Inc")</f>
        <v>0</v>
      </c>
      <c r="C323">
        <v>0.06301050175029101</v>
      </c>
      <c r="D323">
        <v>0.151826105866853</v>
      </c>
      <c r="E323">
        <v>0.421203545676639</v>
      </c>
      <c r="F323">
        <v>0.110975609756097</v>
      </c>
      <c r="G323">
        <v>-0.160233991441945</v>
      </c>
      <c r="H323">
        <v>-0.25190390865837</v>
      </c>
      <c r="I323">
        <v>-0.257383773631662</v>
      </c>
    </row>
    <row r="324" spans="1:9">
      <c r="A324" s="1" t="s">
        <v>336</v>
      </c>
      <c r="B324">
        <f>HYPERLINK("https://www.suredividend.com/sure-analysis-research-database/","Cimpress plc")</f>
        <v>0</v>
      </c>
      <c r="C324">
        <v>-0.075829383886255</v>
      </c>
      <c r="D324">
        <v>-0.015533980582524</v>
      </c>
      <c r="E324">
        <v>-0.22854534388314</v>
      </c>
      <c r="F324">
        <v>-0.08185440057950001</v>
      </c>
      <c r="G324">
        <v>-0.641645462256149</v>
      </c>
      <c r="H324">
        <v>-0.7234042553191481</v>
      </c>
      <c r="I324">
        <v>-0.7971837747019761</v>
      </c>
    </row>
    <row r="325" spans="1:9">
      <c r="A325" s="1" t="s">
        <v>337</v>
      </c>
      <c r="B325">
        <f>HYPERLINK("https://www.suredividend.com/sure-analysis-research-database/","Costamare Inc")</f>
        <v>0</v>
      </c>
      <c r="C325">
        <v>0.059933407325194</v>
      </c>
      <c r="D325">
        <v>0.05375822041753101</v>
      </c>
      <c r="E325">
        <v>-0.103084263120327</v>
      </c>
      <c r="F325">
        <v>0.029094827586207</v>
      </c>
      <c r="G325">
        <v>-0.21613369229759</v>
      </c>
      <c r="H325">
        <v>0.163896065909423</v>
      </c>
      <c r="I325">
        <v>1.020522585422617</v>
      </c>
    </row>
    <row r="326" spans="1:9">
      <c r="A326" s="1" t="s">
        <v>338</v>
      </c>
      <c r="B326">
        <f>HYPERLINK("https://www.suredividend.com/sure-analysis-research-database/","Chimerix Inc")</f>
        <v>0</v>
      </c>
      <c r="C326">
        <v>-0.03076923076923</v>
      </c>
      <c r="D326">
        <v>0.021621621621621</v>
      </c>
      <c r="E326">
        <v>-0.148648648648648</v>
      </c>
      <c r="F326">
        <v>0.016129032258064</v>
      </c>
      <c r="G326">
        <v>-0.6850000000000001</v>
      </c>
      <c r="H326">
        <v>-0.775534441805225</v>
      </c>
      <c r="I326">
        <v>-0.612704918032786</v>
      </c>
    </row>
    <row r="327" spans="1:9">
      <c r="A327" s="1" t="s">
        <v>339</v>
      </c>
      <c r="B327">
        <f>HYPERLINK("https://www.suredividend.com/sure-analysis-research-database/","Comtech Telecommunications Corp.")</f>
        <v>0</v>
      </c>
      <c r="C327">
        <v>-0.070306656694091</v>
      </c>
      <c r="D327">
        <v>0.231937203908898</v>
      </c>
      <c r="E327">
        <v>0.342825659529416</v>
      </c>
      <c r="F327">
        <v>0.023887973640856</v>
      </c>
      <c r="G327">
        <v>-0.45793430669667</v>
      </c>
      <c r="H327">
        <v>-0.409548872537609</v>
      </c>
      <c r="I327">
        <v>-0.368066782580402</v>
      </c>
    </row>
    <row r="328" spans="1:9">
      <c r="A328" s="1" t="s">
        <v>340</v>
      </c>
      <c r="B328">
        <f>HYPERLINK("https://www.suredividend.com/sure-analysis-research-database/","Conduent Inc")</f>
        <v>0</v>
      </c>
      <c r="C328">
        <v>0.182058047493403</v>
      </c>
      <c r="D328">
        <v>0.309941520467836</v>
      </c>
      <c r="E328">
        <v>0.044289044289044</v>
      </c>
      <c r="F328">
        <v>0.106172839506172</v>
      </c>
      <c r="G328">
        <v>-0.245791245791245</v>
      </c>
      <c r="H328">
        <v>-0.09494949494949401</v>
      </c>
      <c r="I328">
        <v>-0.7248157248157241</v>
      </c>
    </row>
    <row r="329" spans="1:9">
      <c r="A329" s="1" t="s">
        <v>341</v>
      </c>
      <c r="B329">
        <f>HYPERLINK("https://www.suredividend.com/sure-analysis-research-database/","Cinemark Holdings Inc")</f>
        <v>0</v>
      </c>
      <c r="C329">
        <v>-0.279508196721311</v>
      </c>
      <c r="D329">
        <v>-0.234320557491289</v>
      </c>
      <c r="E329">
        <v>-0.436538461538461</v>
      </c>
      <c r="F329">
        <v>0.01501154734411</v>
      </c>
      <c r="G329">
        <v>-0.4880605707629581</v>
      </c>
      <c r="H329">
        <v>-0.4968517458500281</v>
      </c>
      <c r="I329">
        <v>-0.717585824671882</v>
      </c>
    </row>
    <row r="330" spans="1:9">
      <c r="A330" s="1" t="s">
        <v>342</v>
      </c>
      <c r="B330">
        <f>HYPERLINK("https://www.suredividend.com/sure-analysis-research-database/","Conmed Corp.")</f>
        <v>0</v>
      </c>
      <c r="C330">
        <v>0.046920011483342</v>
      </c>
      <c r="D330">
        <v>0.193355425078016</v>
      </c>
      <c r="E330">
        <v>0.001963292225257</v>
      </c>
      <c r="F330">
        <v>0.07378158844765301</v>
      </c>
      <c r="G330">
        <v>-0.328868525076117</v>
      </c>
      <c r="H330">
        <v>-0.145105689654862</v>
      </c>
      <c r="I330">
        <v>0.8619664306115261</v>
      </c>
    </row>
    <row r="331" spans="1:9">
      <c r="A331" s="1" t="s">
        <v>343</v>
      </c>
      <c r="B331">
        <f>HYPERLINK("https://www.suredividend.com/sure-analysis-research-database/","Cannae Holdings Inc")</f>
        <v>0</v>
      </c>
      <c r="C331">
        <v>0.034627983153953</v>
      </c>
      <c r="D331">
        <v>0.041941564561734</v>
      </c>
      <c r="E331">
        <v>0.05436337625178801</v>
      </c>
      <c r="F331">
        <v>0.070702179176755</v>
      </c>
      <c r="G331">
        <v>-0.357827476038338</v>
      </c>
      <c r="H331">
        <v>-0.5151315789473681</v>
      </c>
      <c r="I331">
        <v>0.30288744843842</v>
      </c>
    </row>
    <row r="332" spans="1:9">
      <c r="A332" s="1" t="s">
        <v>344</v>
      </c>
      <c r="B332">
        <f>HYPERLINK("https://www.suredividend.com/sure-analysis-research-database/","CNO Financial Group Inc")</f>
        <v>0</v>
      </c>
      <c r="C332">
        <v>0.025939177101967</v>
      </c>
      <c r="D332">
        <v>0.233054901581363</v>
      </c>
      <c r="E332">
        <v>0.314244137749285</v>
      </c>
      <c r="F332">
        <v>0.003938730853391</v>
      </c>
      <c r="G332">
        <v>-0.07432814139294601</v>
      </c>
      <c r="H332">
        <v>0.059662607860165</v>
      </c>
      <c r="I332">
        <v>0.015125098459169</v>
      </c>
    </row>
    <row r="333" spans="1:9">
      <c r="A333" s="1" t="s">
        <v>345</v>
      </c>
      <c r="B333">
        <f>HYPERLINK("https://www.suredividend.com/sure-analysis-research-database/","ConnectOne Bancorp Inc.")</f>
        <v>0</v>
      </c>
      <c r="C333">
        <v>0.01442885771543</v>
      </c>
      <c r="D333">
        <v>0.131294529916057</v>
      </c>
      <c r="E333">
        <v>0.036131557185783</v>
      </c>
      <c r="F333">
        <v>0.04543577034283301</v>
      </c>
      <c r="G333">
        <v>-0.267987239666935</v>
      </c>
      <c r="H333">
        <v>0.267743906714885</v>
      </c>
      <c r="I333">
        <v>0.022692376072796</v>
      </c>
    </row>
    <row r="334" spans="1:9">
      <c r="A334" s="1" t="s">
        <v>346</v>
      </c>
      <c r="B334">
        <f>HYPERLINK("https://www.suredividend.com/sure-analysis-research-database/","Cornerstone Building Brands Inc")</f>
        <v>0</v>
      </c>
      <c r="C334">
        <v>0.008588957055214001</v>
      </c>
      <c r="D334">
        <v>0.011070110701107</v>
      </c>
      <c r="E334">
        <v>0.6234364713627381</v>
      </c>
      <c r="F334">
        <v>0.413990825688073</v>
      </c>
      <c r="G334">
        <v>0.482862297053517</v>
      </c>
      <c r="H334">
        <v>3.172588832487309</v>
      </c>
      <c r="I334">
        <v>0.405128205128205</v>
      </c>
    </row>
    <row r="335" spans="1:9">
      <c r="A335" s="1" t="s">
        <v>347</v>
      </c>
      <c r="B335">
        <f>HYPERLINK("https://www.suredividend.com/sure-analysis-research-database/","Cohen &amp; Steers Inc.")</f>
        <v>0</v>
      </c>
      <c r="C335">
        <v>0.038311882669859</v>
      </c>
      <c r="D335">
        <v>0.168769035875043</v>
      </c>
      <c r="E335">
        <v>0.076029268988706</v>
      </c>
      <c r="F335">
        <v>0.074659231722428</v>
      </c>
      <c r="G335">
        <v>-0.205718642600865</v>
      </c>
      <c r="H335">
        <v>0.030630737692741</v>
      </c>
      <c r="I335">
        <v>0.8448300618488711</v>
      </c>
    </row>
    <row r="336" spans="1:9">
      <c r="A336" s="1" t="s">
        <v>348</v>
      </c>
      <c r="B336">
        <f>HYPERLINK("https://www.suredividend.com/sure-analysis-research-database/","Consolidated Communications Holdings Inc")</f>
        <v>0</v>
      </c>
      <c r="C336">
        <v>-0.019900497512437</v>
      </c>
      <c r="D336">
        <v>-0.10657596371882</v>
      </c>
      <c r="E336">
        <v>-0.428156748911465</v>
      </c>
      <c r="F336">
        <v>0.100558659217877</v>
      </c>
      <c r="G336">
        <v>-0.4788359788359781</v>
      </c>
      <c r="H336">
        <v>-0.236434108527131</v>
      </c>
      <c r="I336">
        <v>-0.613084424193025</v>
      </c>
    </row>
    <row r="337" spans="1:9">
      <c r="A337" s="1" t="s">
        <v>349</v>
      </c>
      <c r="B337">
        <f>HYPERLINK("https://www.suredividend.com/sure-analysis-research-database/","Century Casinos Inc.")</f>
        <v>0</v>
      </c>
      <c r="C337">
        <v>-0.004059539918809</v>
      </c>
      <c r="D337">
        <v>0.098507462686567</v>
      </c>
      <c r="E337">
        <v>0.016574585635359</v>
      </c>
      <c r="F337">
        <v>0.046941678520625</v>
      </c>
      <c r="G337">
        <v>-0.378902953586497</v>
      </c>
      <c r="H337">
        <v>0.121951219512195</v>
      </c>
      <c r="I337">
        <v>-0.185840707964601</v>
      </c>
    </row>
    <row r="338" spans="1:9">
      <c r="A338" s="1" t="s">
        <v>350</v>
      </c>
      <c r="B338">
        <f>HYPERLINK("https://www.suredividend.com/sure-analysis-research-database/","Convey Health Solutions Holdings Inc")</f>
        <v>0</v>
      </c>
      <c r="C338">
        <v>0.0009523809523810001</v>
      </c>
      <c r="D338">
        <v>0.007670182166826</v>
      </c>
      <c r="E338">
        <v>0.616923076923076</v>
      </c>
      <c r="F338">
        <v>0.257177033492822</v>
      </c>
      <c r="G338">
        <v>0.31704260651629</v>
      </c>
      <c r="H338">
        <v>-0.191538461538461</v>
      </c>
      <c r="I338">
        <v>-0.191538461538461</v>
      </c>
    </row>
    <row r="339" spans="1:9">
      <c r="A339" s="1" t="s">
        <v>351</v>
      </c>
      <c r="B339">
        <f>HYPERLINK("https://www.suredividend.com/sure-analysis-research-database/","CNX Resources Corp")</f>
        <v>0</v>
      </c>
      <c r="C339">
        <v>0.024005053695514</v>
      </c>
      <c r="D339">
        <v>-0.04982415005861601</v>
      </c>
      <c r="E339">
        <v>0.001235330450895</v>
      </c>
      <c r="F339">
        <v>-0.037410926365795</v>
      </c>
      <c r="G339">
        <v>0.106484641638225</v>
      </c>
      <c r="H339">
        <v>0.339669421487603</v>
      </c>
      <c r="I339">
        <v>0.08138759172781801</v>
      </c>
    </row>
    <row r="340" spans="1:9">
      <c r="A340" s="1" t="s">
        <v>352</v>
      </c>
      <c r="B340">
        <f>HYPERLINK("https://www.suredividend.com/sure-analysis-research-database/","PC Connection, Inc.")</f>
        <v>0</v>
      </c>
      <c r="C340">
        <v>-0.080172921988602</v>
      </c>
      <c r="D340">
        <v>0.045463479130932</v>
      </c>
      <c r="E340">
        <v>0.07480959498896701</v>
      </c>
      <c r="F340">
        <v>-0.001918976545842</v>
      </c>
      <c r="G340">
        <v>0.134895177968341</v>
      </c>
      <c r="H340">
        <v>-0.047636486447995</v>
      </c>
      <c r="I340">
        <v>0.8339673795932441</v>
      </c>
    </row>
    <row r="341" spans="1:9">
      <c r="A341" s="1" t="s">
        <v>353</v>
      </c>
      <c r="B341">
        <f>HYPERLINK("https://www.suredividend.com/sure-analysis-research-database/","Vita Coco Company Inc (The)")</f>
        <v>0</v>
      </c>
      <c r="C341">
        <v>0.04281345565749201</v>
      </c>
      <c r="D341">
        <v>0.141422594142259</v>
      </c>
      <c r="E341">
        <v>0.236627379873073</v>
      </c>
      <c r="F341">
        <v>-0.013024602026049</v>
      </c>
      <c r="G341">
        <v>0.250229147571035</v>
      </c>
      <c r="H341">
        <v>0.00887573964497</v>
      </c>
      <c r="I341">
        <v>0.00887573964497</v>
      </c>
    </row>
    <row r="342" spans="1:9">
      <c r="A342" s="1" t="s">
        <v>354</v>
      </c>
      <c r="B342">
        <f>HYPERLINK("https://www.suredividend.com/sure-analysis-research-database/","Cogent Biosciences Inc")</f>
        <v>0</v>
      </c>
      <c r="C342">
        <v>0.09819819819819801</v>
      </c>
      <c r="D342">
        <v>-0.10891812865497</v>
      </c>
      <c r="E342">
        <v>0.09622302158273301</v>
      </c>
      <c r="F342">
        <v>0.054498269896193</v>
      </c>
      <c r="G342">
        <v>0.463385354141656</v>
      </c>
      <c r="H342">
        <v>0.023509655751469</v>
      </c>
      <c r="I342">
        <v>0.09720972097209701</v>
      </c>
    </row>
    <row r="343" spans="1:9">
      <c r="A343" s="1" t="s">
        <v>355</v>
      </c>
      <c r="B343">
        <f>HYPERLINK("https://www.suredividend.com/sure-analysis-research-database/","Cohu, Inc.")</f>
        <v>0</v>
      </c>
      <c r="C343">
        <v>-0.010938399539435</v>
      </c>
      <c r="D343">
        <v>0.221906116642958</v>
      </c>
      <c r="E343">
        <v>0.302501895375284</v>
      </c>
      <c r="F343">
        <v>0.072074882995319</v>
      </c>
      <c r="G343">
        <v>-0.043429844097995</v>
      </c>
      <c r="H343">
        <v>-0.181904761904761</v>
      </c>
      <c r="I343">
        <v>0.5181774800728151</v>
      </c>
    </row>
    <row r="344" spans="1:9">
      <c r="A344" s="1" t="s">
        <v>356</v>
      </c>
      <c r="B344">
        <f>HYPERLINK("https://www.suredividend.com/sure-analysis-research-database/","Coca-Cola Consolidated Inc")</f>
        <v>0</v>
      </c>
      <c r="C344">
        <v>-0.09403051235639601</v>
      </c>
      <c r="D344">
        <v>0.116912257116384</v>
      </c>
      <c r="E344">
        <v>-0.158834959581171</v>
      </c>
      <c r="F344">
        <v>-0.04264579592474</v>
      </c>
      <c r="G344">
        <v>-0.180862122951675</v>
      </c>
      <c r="H344">
        <v>0.809583328414416</v>
      </c>
      <c r="I344">
        <v>1.432349338741749</v>
      </c>
    </row>
    <row r="345" spans="1:9">
      <c r="A345" s="1" t="s">
        <v>357</v>
      </c>
      <c r="B345">
        <f>HYPERLINK("https://www.suredividend.com/sure-analysis-research-database/","Columbia Banking System, Inc.")</f>
        <v>0</v>
      </c>
      <c r="C345">
        <v>-0.046088932164881</v>
      </c>
      <c r="D345">
        <v>0.020043383947939</v>
      </c>
      <c r="E345">
        <v>0.015240700823522</v>
      </c>
      <c r="F345">
        <v>-0.024560238964487</v>
      </c>
      <c r="G345">
        <v>-0.152366394600986</v>
      </c>
      <c r="H345">
        <v>-0.215130175160298</v>
      </c>
      <c r="I345">
        <v>-0.228118647539907</v>
      </c>
    </row>
    <row r="346" spans="1:9">
      <c r="A346" s="1" t="s">
        <v>358</v>
      </c>
      <c r="B346">
        <f>HYPERLINK("https://www.suredividend.com/sure-analysis-research-database/","Collegium Pharmaceutical Inc")</f>
        <v>0</v>
      </c>
      <c r="C346">
        <v>0.275011420740064</v>
      </c>
      <c r="D346">
        <v>0.68335343787696</v>
      </c>
      <c r="E346">
        <v>0.523471615720523</v>
      </c>
      <c r="F346">
        <v>0.20301724137931</v>
      </c>
      <c r="G346">
        <v>0.4521331945889691</v>
      </c>
      <c r="H346">
        <v>0.286768095896726</v>
      </c>
      <c r="I346">
        <v>0.5094645754461871</v>
      </c>
    </row>
    <row r="347" spans="1:9">
      <c r="A347" s="1" t="s">
        <v>359</v>
      </c>
      <c r="B347">
        <f>HYPERLINK("https://www.suredividend.com/sure-analysis-research-database/","Conns Inc")</f>
        <v>0</v>
      </c>
      <c r="C347">
        <v>0.188010899182561</v>
      </c>
      <c r="D347">
        <v>0.196159122085048</v>
      </c>
      <c r="E347">
        <v>-0.033259423503325</v>
      </c>
      <c r="F347">
        <v>0.267441860465116</v>
      </c>
      <c r="G347">
        <v>-0.6380240763802401</v>
      </c>
      <c r="H347">
        <v>-0.329230769230769</v>
      </c>
      <c r="I347">
        <v>-0.7494252873563211</v>
      </c>
    </row>
    <row r="348" spans="1:9">
      <c r="A348" s="1" t="s">
        <v>360</v>
      </c>
      <c r="B348">
        <f>HYPERLINK("https://www.suredividend.com/sure-analysis-research-database/","Traeger Inc")</f>
        <v>0</v>
      </c>
      <c r="C348">
        <v>-0.129337539432176</v>
      </c>
      <c r="D348">
        <v>-0.08305647840531501</v>
      </c>
      <c r="E348">
        <v>-0.378378378378378</v>
      </c>
      <c r="F348">
        <v>-0.02127659574468</v>
      </c>
      <c r="G348">
        <v>-0.743970315398886</v>
      </c>
      <c r="H348">
        <v>-0.8745454545454541</v>
      </c>
      <c r="I348">
        <v>-0.8745454545454541</v>
      </c>
    </row>
    <row r="349" spans="1:9">
      <c r="A349" s="1" t="s">
        <v>361</v>
      </c>
      <c r="B349">
        <f>HYPERLINK("https://www.suredividend.com/sure-analysis-research-database/","Mr. Cooper Group Inc")</f>
        <v>0</v>
      </c>
      <c r="C349">
        <v>-0.010615711252654</v>
      </c>
      <c r="D349">
        <v>-0.01433607520564</v>
      </c>
      <c r="E349">
        <v>0.12289156626506</v>
      </c>
      <c r="F349">
        <v>0.045103413904809</v>
      </c>
      <c r="G349">
        <v>-0.001190759704691</v>
      </c>
      <c r="H349">
        <v>0.421213148085394</v>
      </c>
      <c r="I349">
        <v>46.24036945257941</v>
      </c>
    </row>
    <row r="350" spans="1:9">
      <c r="A350" s="1" t="s">
        <v>362</v>
      </c>
      <c r="B350">
        <f>HYPERLINK("https://www.suredividend.com/sure-analysis-research-database/","Corcept Therapeutics Inc")</f>
        <v>0</v>
      </c>
      <c r="C350">
        <v>-0.04022450888681001</v>
      </c>
      <c r="D350">
        <v>-0.225075528700906</v>
      </c>
      <c r="E350">
        <v>-0.257597684515195</v>
      </c>
      <c r="F350">
        <v>0.010339734121122</v>
      </c>
      <c r="G350">
        <v>0.08284960422163601</v>
      </c>
      <c r="H350">
        <v>-0.244755244755244</v>
      </c>
      <c r="I350">
        <v>0.029087261785355</v>
      </c>
    </row>
    <row r="351" spans="1:9">
      <c r="A351" s="1" t="s">
        <v>363</v>
      </c>
      <c r="B351">
        <f>HYPERLINK("https://www.suredividend.com/sure-analysis-research-database/","Coursera Inc")</f>
        <v>0</v>
      </c>
      <c r="C351">
        <v>0.044035228182546</v>
      </c>
      <c r="D351">
        <v>0.150926743159752</v>
      </c>
      <c r="E351">
        <v>-0.183979974968711</v>
      </c>
      <c r="F351">
        <v>0.102282333051563</v>
      </c>
      <c r="G351">
        <v>-0.438415159345391</v>
      </c>
      <c r="H351">
        <v>-0.7102222222222221</v>
      </c>
      <c r="I351">
        <v>-0.7102222222222221</v>
      </c>
    </row>
    <row r="352" spans="1:9">
      <c r="A352" s="1" t="s">
        <v>364</v>
      </c>
      <c r="B352">
        <f>HYPERLINK("https://www.suredividend.com/sure-analysis-research-database/","Cowen Inc")</f>
        <v>0</v>
      </c>
      <c r="C352">
        <v>0.002592688618096</v>
      </c>
      <c r="D352">
        <v>0.004666098559640001</v>
      </c>
      <c r="E352">
        <v>0.255197530503539</v>
      </c>
      <c r="F352">
        <v>0.001294665976178</v>
      </c>
      <c r="G352">
        <v>0.093052179320481</v>
      </c>
      <c r="H352">
        <v>0.4327741055814091</v>
      </c>
      <c r="I352">
        <v>1.956648061778423</v>
      </c>
    </row>
    <row r="353" spans="1:9">
      <c r="A353" s="1" t="s">
        <v>365</v>
      </c>
      <c r="B353">
        <f>HYPERLINK("https://www.suredividend.com/sure-analysis-research-database/","Callon Petroleum Co.")</f>
        <v>0</v>
      </c>
      <c r="C353">
        <v>0.05087719298245601</v>
      </c>
      <c r="D353">
        <v>-0.198483496877787</v>
      </c>
      <c r="E353">
        <v>-0.062108559498956</v>
      </c>
      <c r="F353">
        <v>-0.031005661903478</v>
      </c>
      <c r="G353">
        <v>-0.308047747400847</v>
      </c>
      <c r="H353">
        <v>1.428378378378378</v>
      </c>
      <c r="I353">
        <v>-0.71016129032258</v>
      </c>
    </row>
    <row r="354" spans="1:9">
      <c r="A354" s="1" t="s">
        <v>366</v>
      </c>
      <c r="B354">
        <f>HYPERLINK("https://www.suredividend.com/sure-analysis-research-database/","Central Pacific Financial Corp.")</f>
        <v>0</v>
      </c>
      <c r="C354">
        <v>0.010721247563352</v>
      </c>
      <c r="D354">
        <v>0.012117101070189</v>
      </c>
      <c r="E354">
        <v>-0.032879305762155</v>
      </c>
      <c r="F354">
        <v>0.022682445759368</v>
      </c>
      <c r="G354">
        <v>-0.285699525406917</v>
      </c>
      <c r="H354">
        <v>0.082661237699997</v>
      </c>
      <c r="I354">
        <v>-0.168794110220946</v>
      </c>
    </row>
    <row r="355" spans="1:9">
      <c r="A355" s="1" t="s">
        <v>367</v>
      </c>
      <c r="B355">
        <f>HYPERLINK("https://www.suredividend.com/sure-analysis-CPK/","Chesapeake Utilities Corp")</f>
        <v>0</v>
      </c>
      <c r="C355">
        <v>0.023715630813941</v>
      </c>
      <c r="D355">
        <v>0.09162854893474801</v>
      </c>
      <c r="E355">
        <v>-0.01893942747855</v>
      </c>
      <c r="F355">
        <v>0.031308173971907</v>
      </c>
      <c r="G355">
        <v>-0.109136612453229</v>
      </c>
      <c r="H355">
        <v>0.223944237630762</v>
      </c>
      <c r="I355">
        <v>0.7742297065562651</v>
      </c>
    </row>
    <row r="356" spans="1:9">
      <c r="A356" s="1" t="s">
        <v>368</v>
      </c>
      <c r="B356">
        <f>HYPERLINK("https://www.suredividend.com/sure-analysis-research-database/","Catalyst Pharmaceuticals Inc")</f>
        <v>0</v>
      </c>
      <c r="C356">
        <v>0.161172161172161</v>
      </c>
      <c r="D356">
        <v>0.5526530612244891</v>
      </c>
      <c r="E356">
        <v>1.515873015873015</v>
      </c>
      <c r="F356">
        <v>0.02258064516129</v>
      </c>
      <c r="G356">
        <v>1.899390243902439</v>
      </c>
      <c r="H356">
        <v>4.465517241379311</v>
      </c>
      <c r="I356">
        <v>3.85204081632653</v>
      </c>
    </row>
    <row r="357" spans="1:9">
      <c r="A357" s="1" t="s">
        <v>369</v>
      </c>
      <c r="B357">
        <f>HYPERLINK("https://www.suredividend.com/sure-analysis-research-database/","Cooper-Standard Holdings Inc")</f>
        <v>0</v>
      </c>
      <c r="C357">
        <v>0.87220447284345</v>
      </c>
      <c r="D357">
        <v>0.781155015197568</v>
      </c>
      <c r="E357">
        <v>1.316205533596838</v>
      </c>
      <c r="F357">
        <v>0.293598233995584</v>
      </c>
      <c r="G357">
        <v>-0.532695374800637</v>
      </c>
      <c r="H357">
        <v>-0.6871329418045911</v>
      </c>
      <c r="I357">
        <v>-0.9103015459972441</v>
      </c>
    </row>
    <row r="358" spans="1:9">
      <c r="A358" s="1" t="s">
        <v>370</v>
      </c>
      <c r="B358">
        <f>HYPERLINK("https://www.suredividend.com/sure-analysis-research-database/","Computer Programs &amp; Systems Inc")</f>
        <v>0</v>
      </c>
      <c r="C358">
        <v>-0.001079136690647</v>
      </c>
      <c r="D358">
        <v>-0.00071968333933</v>
      </c>
      <c r="E358">
        <v>-0.153353658536585</v>
      </c>
      <c r="F358">
        <v>0.020205731080088</v>
      </c>
      <c r="G358">
        <v>-0.03910034602076101</v>
      </c>
      <c r="H358">
        <v>-0.05027359781121701</v>
      </c>
      <c r="I358">
        <v>-0.039266562878394</v>
      </c>
    </row>
    <row r="359" spans="1:9">
      <c r="A359" s="1" t="s">
        <v>371</v>
      </c>
      <c r="B359">
        <f>HYPERLINK("https://www.suredividend.com/sure-analysis-research-database/","CRA International Inc.")</f>
        <v>0</v>
      </c>
      <c r="C359">
        <v>0.03537653239929901</v>
      </c>
      <c r="D359">
        <v>0.312937497779199</v>
      </c>
      <c r="E359">
        <v>0.328734903676833</v>
      </c>
      <c r="F359">
        <v>-0.034223637997222</v>
      </c>
      <c r="G359">
        <v>0.311043523673405</v>
      </c>
      <c r="H359">
        <v>1.213121504563252</v>
      </c>
      <c r="I359">
        <v>1.763824381213286</v>
      </c>
    </row>
    <row r="360" spans="1:9">
      <c r="A360" s="1" t="s">
        <v>372</v>
      </c>
      <c r="B360">
        <f>HYPERLINK("https://www.suredividend.com/sure-analysis-research-database/","Caribou Biosciences Inc")</f>
        <v>0</v>
      </c>
      <c r="C360">
        <v>-0.23076923076923</v>
      </c>
      <c r="D360">
        <v>-0.320866141732283</v>
      </c>
      <c r="E360">
        <v>0.016200294550809</v>
      </c>
      <c r="F360">
        <v>0.09872611464968101</v>
      </c>
      <c r="G360">
        <v>-0.469638739431206</v>
      </c>
      <c r="H360">
        <v>-0.577205882352941</v>
      </c>
      <c r="I360">
        <v>-0.577205882352941</v>
      </c>
    </row>
    <row r="361" spans="1:9">
      <c r="A361" s="1" t="s">
        <v>373</v>
      </c>
      <c r="B361">
        <f>HYPERLINK("https://www.suredividend.com/sure-analysis-research-database/","California Resources Corporation")</f>
        <v>0</v>
      </c>
      <c r="C361">
        <v>0.06569162121963301</v>
      </c>
      <c r="D361">
        <v>0.018684169993957</v>
      </c>
      <c r="E361">
        <v>0.100197569789224</v>
      </c>
      <c r="F361">
        <v>-0.011951275568834</v>
      </c>
      <c r="G361">
        <v>0.009498538234845</v>
      </c>
      <c r="H361">
        <v>0.7867756160614461</v>
      </c>
      <c r="I361">
        <v>1.918394916738512</v>
      </c>
    </row>
    <row r="362" spans="1:9">
      <c r="A362" s="1" t="s">
        <v>374</v>
      </c>
      <c r="B362">
        <f>HYPERLINK("https://www.suredividend.com/sure-analysis-research-database/","Crawford &amp; Co.")</f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>
      <c r="A363" s="1" t="s">
        <v>375</v>
      </c>
      <c r="B363">
        <f>HYPERLINK("https://www.suredividend.com/sure-analysis-research-database/","Cardiff Oncology Inc")</f>
        <v>0</v>
      </c>
      <c r="C363">
        <v>0.034965034965035</v>
      </c>
      <c r="D363">
        <v>0</v>
      </c>
      <c r="E363">
        <v>-0.531645569620253</v>
      </c>
      <c r="F363">
        <v>0.057142857142857</v>
      </c>
      <c r="G363">
        <v>-0.766561514195583</v>
      </c>
      <c r="H363">
        <v>-0.9192139737991261</v>
      </c>
      <c r="I363">
        <v>-0.9395068994833561</v>
      </c>
    </row>
    <row r="364" spans="1:9">
      <c r="A364" s="1" t="s">
        <v>376</v>
      </c>
      <c r="B364">
        <f>HYPERLINK("https://www.suredividend.com/sure-analysis-research-database/","Credo Technology Group Holding Ltd")</f>
        <v>0</v>
      </c>
      <c r="C364">
        <v>-0.11036339165545</v>
      </c>
      <c r="D364">
        <v>0.202911737943585</v>
      </c>
      <c r="E364">
        <v>0.110924369747899</v>
      </c>
      <c r="F364">
        <v>-0.006761833208114001</v>
      </c>
      <c r="G364">
        <v>0.134763948497854</v>
      </c>
      <c r="H364">
        <v>0.134763948497854</v>
      </c>
      <c r="I364">
        <v>0.134763948497854</v>
      </c>
    </row>
    <row r="365" spans="1:9">
      <c r="A365" s="1" t="s">
        <v>377</v>
      </c>
      <c r="B365">
        <f>HYPERLINK("https://www.suredividend.com/sure-analysis-research-database/","Crescent Energy Company")</f>
        <v>0</v>
      </c>
      <c r="C365">
        <v>-0.065897858319604</v>
      </c>
      <c r="D365">
        <v>-0.259360855849677</v>
      </c>
      <c r="E365">
        <v>-0.08782316317830001</v>
      </c>
      <c r="F365">
        <v>-0.054211843202668</v>
      </c>
      <c r="G365">
        <v>-0.159638955995909</v>
      </c>
      <c r="H365">
        <v>-0.298032758471271</v>
      </c>
      <c r="I365">
        <v>-0.298032758471271</v>
      </c>
    </row>
    <row r="366" spans="1:9">
      <c r="A366" s="1" t="s">
        <v>378</v>
      </c>
      <c r="B366">
        <f>HYPERLINK("https://www.suredividend.com/sure-analysis-research-database/","Curis Inc")</f>
        <v>0</v>
      </c>
      <c r="C366">
        <v>-0.168939098818335</v>
      </c>
      <c r="D366">
        <v>-0.19779393331662</v>
      </c>
      <c r="E366">
        <v>-0.475409836065573</v>
      </c>
      <c r="F366">
        <v>0.163636363636363</v>
      </c>
      <c r="G366">
        <v>-0.816618911174785</v>
      </c>
      <c r="H366">
        <v>-0.9365708622398411</v>
      </c>
      <c r="I366">
        <v>-0.811209439528023</v>
      </c>
    </row>
    <row r="367" spans="1:9">
      <c r="A367" s="1" t="s">
        <v>379</v>
      </c>
      <c r="B367">
        <f>HYPERLINK("https://www.suredividend.com/sure-analysis-research-database/","Comstock Resources, Inc.")</f>
        <v>0</v>
      </c>
      <c r="C367">
        <v>-0.081603435934144</v>
      </c>
      <c r="D367">
        <v>-0.268945868945869</v>
      </c>
      <c r="E367">
        <v>0.06758308509044901</v>
      </c>
      <c r="F367">
        <v>-0.06418672501823401</v>
      </c>
      <c r="G367">
        <v>0.5073192509222491</v>
      </c>
      <c r="H367">
        <v>1.630877437611499</v>
      </c>
      <c r="I367">
        <v>0.425793187753514</v>
      </c>
    </row>
    <row r="368" spans="1:9">
      <c r="A368" s="1" t="s">
        <v>380</v>
      </c>
      <c r="B368">
        <f>HYPERLINK("https://www.suredividend.com/sure-analysis-research-database/","CorMedix Inc")</f>
        <v>0</v>
      </c>
      <c r="C368">
        <v>0.174603174603174</v>
      </c>
      <c r="D368">
        <v>0.5633802816901411</v>
      </c>
      <c r="E368">
        <v>0.06220095693779901</v>
      </c>
      <c r="F368">
        <v>0.05213270142180101</v>
      </c>
      <c r="G368">
        <v>-0.084536082474226</v>
      </c>
      <c r="H368">
        <v>-0.4943052391799541</v>
      </c>
      <c r="I368">
        <v>0.6154265963252681</v>
      </c>
    </row>
    <row r="369" spans="1:9">
      <c r="A369" s="1" t="s">
        <v>381</v>
      </c>
      <c r="B369">
        <f>HYPERLINK("https://www.suredividend.com/sure-analysis-research-database/","Americas Car Mart, Inc.")</f>
        <v>0</v>
      </c>
      <c r="C369">
        <v>-0.052774018944519</v>
      </c>
      <c r="D369">
        <v>0.177262024890682</v>
      </c>
      <c r="E369">
        <v>-0.289340101522842</v>
      </c>
      <c r="F369">
        <v>-0.031275947965679</v>
      </c>
      <c r="G369">
        <v>-0.305831019436731</v>
      </c>
      <c r="H369">
        <v>-0.4142259414225941</v>
      </c>
      <c r="I369">
        <v>0.559020044543429</v>
      </c>
    </row>
    <row r="370" spans="1:9">
      <c r="A370" s="1" t="s">
        <v>382</v>
      </c>
      <c r="B370">
        <f>HYPERLINK("https://www.suredividend.com/sure-analysis-research-database/","Cerence Inc")</f>
        <v>0</v>
      </c>
      <c r="C370">
        <v>0.168687982359426</v>
      </c>
      <c r="D370">
        <v>0.392904073587385</v>
      </c>
      <c r="E370">
        <v>-0.19422272900038</v>
      </c>
      <c r="F370">
        <v>0.144090663788451</v>
      </c>
      <c r="G370">
        <v>-0.731679534236172</v>
      </c>
      <c r="H370">
        <v>-0.7936538835896431</v>
      </c>
      <c r="I370">
        <v>0.381107491856677</v>
      </c>
    </row>
    <row r="371" spans="1:9">
      <c r="A371" s="1" t="s">
        <v>383</v>
      </c>
      <c r="B371">
        <f>HYPERLINK("https://www.suredividend.com/sure-analysis-research-database/","Crinetics Pharmaceuticals Inc")</f>
        <v>0</v>
      </c>
      <c r="C371">
        <v>0.028290282902828</v>
      </c>
      <c r="D371">
        <v>-0.03908045977011401</v>
      </c>
      <c r="E371">
        <v>-0.208333333333333</v>
      </c>
      <c r="F371">
        <v>-0.086338797814207</v>
      </c>
      <c r="G371">
        <v>-0.33991314646664</v>
      </c>
      <c r="H371">
        <v>0.102175346077785</v>
      </c>
      <c r="I371">
        <v>-0.317829457364341</v>
      </c>
    </row>
    <row r="372" spans="1:9">
      <c r="A372" s="1" t="s">
        <v>384</v>
      </c>
      <c r="B372">
        <f>HYPERLINK("https://www.suredividend.com/sure-analysis-research-database/","Crocs Inc")</f>
        <v>0</v>
      </c>
      <c r="C372">
        <v>0.196897752453308</v>
      </c>
      <c r="D372">
        <v>0.480036534446764</v>
      </c>
      <c r="E372">
        <v>0.9529958677685951</v>
      </c>
      <c r="F372">
        <v>0.04611269943742501</v>
      </c>
      <c r="G372">
        <v>-0.09761336515513101</v>
      </c>
      <c r="H372">
        <v>0.6985624438454621</v>
      </c>
      <c r="I372">
        <v>7.402222222222223</v>
      </c>
    </row>
    <row r="373" spans="1:9">
      <c r="A373" s="1" t="s">
        <v>385</v>
      </c>
      <c r="B373">
        <f>HYPERLINK("https://www.suredividend.com/sure-analysis-research-database/","Carpenter Technology Corp.")</f>
        <v>0</v>
      </c>
      <c r="C373">
        <v>0.006612410986775</v>
      </c>
      <c r="D373">
        <v>0.172636506384617</v>
      </c>
      <c r="E373">
        <v>0.533502258796909</v>
      </c>
      <c r="F373">
        <v>0.071467244179751</v>
      </c>
      <c r="G373">
        <v>0.246955858770749</v>
      </c>
      <c r="H373">
        <v>0.247478567826525</v>
      </c>
      <c r="I373">
        <v>-0.148130212536992</v>
      </c>
    </row>
    <row r="374" spans="1:9">
      <c r="A374" s="1" t="s">
        <v>386</v>
      </c>
      <c r="B374">
        <f>HYPERLINK("https://www.suredividend.com/sure-analysis-research-database/","Corsair Gaming Inc")</f>
        <v>0</v>
      </c>
      <c r="C374">
        <v>-0.026</v>
      </c>
      <c r="D374">
        <v>0.20049301561216</v>
      </c>
      <c r="E374">
        <v>0.07982261640798201</v>
      </c>
      <c r="F374">
        <v>0.076639646278555</v>
      </c>
      <c r="G374">
        <v>-0.296581608088589</v>
      </c>
      <c r="H374">
        <v>-0.618637431480031</v>
      </c>
      <c r="I374">
        <v>0.025263157894736</v>
      </c>
    </row>
    <row r="375" spans="1:9">
      <c r="A375" s="1" t="s">
        <v>387</v>
      </c>
      <c r="B375">
        <f>HYPERLINK("https://www.suredividend.com/sure-analysis-research-database/","Cortexyme Inc")</f>
        <v>0</v>
      </c>
      <c r="C375">
        <v>-0.121621621621621</v>
      </c>
      <c r="D375">
        <v>-0.467213114754098</v>
      </c>
      <c r="E375">
        <v>-0.679276315789473</v>
      </c>
      <c r="F375">
        <v>-0.8454833597464341</v>
      </c>
      <c r="G375">
        <v>-0.9654928331268801</v>
      </c>
      <c r="H375">
        <v>-0.9510664993726471</v>
      </c>
      <c r="I375">
        <v>-0.9407114624505921</v>
      </c>
    </row>
    <row r="376" spans="1:9">
      <c r="A376" s="1" t="s">
        <v>388</v>
      </c>
      <c r="B376">
        <f>HYPERLINK("https://www.suredividend.com/sure-analysis-research-database/","Corvel Corp.")</f>
        <v>0</v>
      </c>
      <c r="C376">
        <v>-0.002991976064191</v>
      </c>
      <c r="D376">
        <v>0.05292639138240501</v>
      </c>
      <c r="E376">
        <v>-0.019854268333444</v>
      </c>
      <c r="F376">
        <v>0.008876350375008</v>
      </c>
      <c r="G376">
        <v>-0.231309636153926</v>
      </c>
      <c r="H376">
        <v>0.361374187558031</v>
      </c>
      <c r="I376">
        <v>1.929470529470529</v>
      </c>
    </row>
    <row r="377" spans="1:9">
      <c r="A377" s="1" t="s">
        <v>389</v>
      </c>
      <c r="B377">
        <f>HYPERLINK("https://www.suredividend.com/sure-analysis-research-database/","CSG Systems International Inc.")</f>
        <v>0</v>
      </c>
      <c r="C377">
        <v>0.02263374851351</v>
      </c>
      <c r="D377">
        <v>0.043495610534716</v>
      </c>
      <c r="E377">
        <v>-0.036064233341822</v>
      </c>
      <c r="F377">
        <v>0.00576923076923</v>
      </c>
      <c r="G377">
        <v>0.005693627926572</v>
      </c>
      <c r="H377">
        <v>0.320576710747102</v>
      </c>
      <c r="I377">
        <v>0.442375193052129</v>
      </c>
    </row>
    <row r="378" spans="1:9">
      <c r="A378" s="1" t="s">
        <v>390</v>
      </c>
      <c r="B378">
        <f>HYPERLINK("https://www.suredividend.com/sure-analysis-research-database/","Cardiovascular Systems Inc.")</f>
        <v>0</v>
      </c>
      <c r="C378">
        <v>0.03720238095238</v>
      </c>
      <c r="D378">
        <v>0.085669781931464</v>
      </c>
      <c r="E378">
        <v>-0.06505700871898</v>
      </c>
      <c r="F378">
        <v>0.023494860499265</v>
      </c>
      <c r="G378">
        <v>-0.231532524807056</v>
      </c>
      <c r="H378">
        <v>-0.6993745956437351</v>
      </c>
      <c r="I378">
        <v>-0.415513626834381</v>
      </c>
    </row>
    <row r="379" spans="1:9">
      <c r="A379" s="1" t="s">
        <v>391</v>
      </c>
      <c r="B379">
        <f>HYPERLINK("https://www.suredividend.com/sure-analysis-research-database/","Centerspace")</f>
        <v>0</v>
      </c>
      <c r="C379">
        <v>-0.067577091421647</v>
      </c>
      <c r="D379">
        <v>-0.05297857311043001</v>
      </c>
      <c r="E379">
        <v>-0.221646811112917</v>
      </c>
      <c r="F379">
        <v>0.028293846940514</v>
      </c>
      <c r="G379">
        <v>-0.3921820894710381</v>
      </c>
      <c r="H379">
        <v>-0.09587772394372901</v>
      </c>
      <c r="I379">
        <v>0.207326810740065</v>
      </c>
    </row>
    <row r="380" spans="1:9">
      <c r="A380" s="1" t="s">
        <v>392</v>
      </c>
      <c r="B380">
        <f>HYPERLINK("https://www.suredividend.com/sure-analysis-research-database/","Chicken Soup for the Soul Entertainment Inc")</f>
        <v>0</v>
      </c>
      <c r="C380">
        <v>-0.053833605220228</v>
      </c>
      <c r="D380">
        <v>-0.095163806552262</v>
      </c>
      <c r="E380">
        <v>-0.268600252206809</v>
      </c>
      <c r="F380">
        <v>0.1328125</v>
      </c>
      <c r="G380">
        <v>-0.580014482259232</v>
      </c>
      <c r="H380">
        <v>-0.69963749352667</v>
      </c>
      <c r="I380">
        <v>-0.389312977099236</v>
      </c>
    </row>
    <row r="381" spans="1:9">
      <c r="A381" s="1" t="s">
        <v>393</v>
      </c>
      <c r="B381">
        <f>HYPERLINK("https://www.suredividend.com/sure-analysis-research-database/","Caesarstone Ltd")</f>
        <v>0</v>
      </c>
      <c r="C381">
        <v>0.037828947368421</v>
      </c>
      <c r="D381">
        <v>-0.314875135722041</v>
      </c>
      <c r="E381">
        <v>-0.267216351178725</v>
      </c>
      <c r="F381">
        <v>0.105078809106829</v>
      </c>
      <c r="G381">
        <v>-0.467177815682367</v>
      </c>
      <c r="H381">
        <v>-0.489758787712162</v>
      </c>
      <c r="I381">
        <v>-0.72919733403144</v>
      </c>
    </row>
    <row r="382" spans="1:9">
      <c r="A382" s="1" t="s">
        <v>394</v>
      </c>
      <c r="B382">
        <f>HYPERLINK("https://www.suredividend.com/sure-analysis-research-database/","Castle Biosciences Inc")</f>
        <v>0</v>
      </c>
      <c r="C382">
        <v>0.04704301075268801</v>
      </c>
      <c r="D382">
        <v>-0.122088655146506</v>
      </c>
      <c r="E382">
        <v>-0.09418604651162701</v>
      </c>
      <c r="F382">
        <v>-0.007221750212404001</v>
      </c>
      <c r="G382">
        <v>-0.402148887183422</v>
      </c>
      <c r="H382">
        <v>-0.706443914081145</v>
      </c>
      <c r="I382">
        <v>0.09205607476635501</v>
      </c>
    </row>
    <row r="383" spans="1:9">
      <c r="A383" s="1" t="s">
        <v>395</v>
      </c>
      <c r="B383">
        <f>HYPERLINK("https://www.suredividend.com/sure-analysis-research-database/","Constellium SE")</f>
        <v>0</v>
      </c>
      <c r="C383">
        <v>0.138912855910267</v>
      </c>
      <c r="D383">
        <v>0.207685269899359</v>
      </c>
      <c r="E383">
        <v>0.021671826625387</v>
      </c>
      <c r="F383">
        <v>0.115807269653423</v>
      </c>
      <c r="G383">
        <v>-0.293739967897271</v>
      </c>
      <c r="H383">
        <v>-0.08396946564885401</v>
      </c>
      <c r="I383">
        <v>0.123404255319148</v>
      </c>
    </row>
    <row r="384" spans="1:9">
      <c r="A384" s="1" t="s">
        <v>396</v>
      </c>
      <c r="B384">
        <f>HYPERLINK("https://www.suredividend.com/sure-analysis-research-database/","CapStar Financial Holdings Inc")</f>
        <v>0</v>
      </c>
      <c r="C384">
        <v>-0.021606648199446</v>
      </c>
      <c r="D384">
        <v>-0.042470707519803</v>
      </c>
      <c r="E384">
        <v>-0.081934487759992</v>
      </c>
      <c r="F384">
        <v>0</v>
      </c>
      <c r="G384">
        <v>-0.169628919106998</v>
      </c>
      <c r="H384">
        <v>0.137432211358864</v>
      </c>
      <c r="I384">
        <v>-0.089742334197545</v>
      </c>
    </row>
    <row r="385" spans="1:9">
      <c r="A385" s="1" t="s">
        <v>397</v>
      </c>
      <c r="B385">
        <f>HYPERLINK("https://www.suredividend.com/sure-analysis-research-database/","Carriage Services, Inc.")</f>
        <v>0</v>
      </c>
      <c r="C385">
        <v>0.193719412724306</v>
      </c>
      <c r="D385">
        <v>-0.08746835600892901</v>
      </c>
      <c r="E385">
        <v>-0.261934000206769</v>
      </c>
      <c r="F385">
        <v>0.062817719680464</v>
      </c>
      <c r="G385">
        <v>-0.488419080377804</v>
      </c>
      <c r="H385">
        <v>-0.108855425721714</v>
      </c>
      <c r="I385">
        <v>0.196451929365598</v>
      </c>
    </row>
    <row r="386" spans="1:9">
      <c r="A386" s="1" t="s">
        <v>398</v>
      </c>
      <c r="B386">
        <f>HYPERLINK("https://www.suredividend.com/sure-analysis-research-database/","CSW Industrials Inc")</f>
        <v>0</v>
      </c>
      <c r="C386">
        <v>0.05316673847479501</v>
      </c>
      <c r="D386">
        <v>0.05484467321564501</v>
      </c>
      <c r="E386">
        <v>0.162510878921762</v>
      </c>
      <c r="F386">
        <v>0.054256879151211</v>
      </c>
      <c r="G386">
        <v>0.003155894628412</v>
      </c>
      <c r="H386">
        <v>0.01173989129301</v>
      </c>
      <c r="I386">
        <v>1.7267007857503</v>
      </c>
    </row>
    <row r="387" spans="1:9">
      <c r="A387" s="1" t="s">
        <v>399</v>
      </c>
      <c r="B387">
        <f>HYPERLINK("https://www.suredividend.com/sure-analysis-CTBI/","Community Trust Bancorp, Inc.")</f>
        <v>0</v>
      </c>
      <c r="C387">
        <v>0.0005332131075050001</v>
      </c>
      <c r="D387">
        <v>0.131217283902209</v>
      </c>
      <c r="E387">
        <v>0.151587424345995</v>
      </c>
      <c r="F387">
        <v>0.005007620291748001</v>
      </c>
      <c r="G387">
        <v>0.05234360751413401</v>
      </c>
      <c r="H387">
        <v>0.269631707786671</v>
      </c>
      <c r="I387">
        <v>0.162945961811232</v>
      </c>
    </row>
    <row r="388" spans="1:9">
      <c r="A388" s="1" t="s">
        <v>400</v>
      </c>
      <c r="B388">
        <f>HYPERLINK("https://www.suredividend.com/sure-analysis-research-database/","Cytek BioSciences Inc")</f>
        <v>0</v>
      </c>
      <c r="C388">
        <v>-0.062943262411347</v>
      </c>
      <c r="D388">
        <v>-0.279481935923653</v>
      </c>
      <c r="E388">
        <v>-0.057932263814616</v>
      </c>
      <c r="F388">
        <v>0.035259549461312</v>
      </c>
      <c r="G388">
        <v>-0.322435897435897</v>
      </c>
      <c r="H388">
        <v>-0.436567164179104</v>
      </c>
      <c r="I388">
        <v>-0.436567164179104</v>
      </c>
    </row>
    <row r="389" spans="1:9">
      <c r="A389" s="1" t="s">
        <v>401</v>
      </c>
      <c r="B389">
        <f>HYPERLINK("https://www.suredividend.com/sure-analysis-research-database/","Cantaloupe Inc")</f>
        <v>0</v>
      </c>
      <c r="C389">
        <v>0.202046035805626</v>
      </c>
      <c r="D389">
        <v>0.4373088685015291</v>
      </c>
      <c r="E389">
        <v>-0.118198874296435</v>
      </c>
      <c r="F389">
        <v>0.080459770114942</v>
      </c>
      <c r="G389">
        <v>-0.44378698224852</v>
      </c>
      <c r="H389">
        <v>-0.557855126999059</v>
      </c>
      <c r="I389">
        <v>-0.4946236559139781</v>
      </c>
    </row>
    <row r="390" spans="1:9">
      <c r="A390" s="1" t="s">
        <v>402</v>
      </c>
      <c r="B390">
        <f>HYPERLINK("https://www.suredividend.com/sure-analysis-research-database/","CytomX Therapeutics Inc")</f>
        <v>0</v>
      </c>
      <c r="C390">
        <v>0.8580645161290321</v>
      </c>
      <c r="D390">
        <v>1.057142857142857</v>
      </c>
      <c r="E390">
        <v>1.215384615384615</v>
      </c>
      <c r="F390">
        <v>0.799999999999999</v>
      </c>
      <c r="G390">
        <v>-0.259640102827763</v>
      </c>
      <c r="H390">
        <v>-0.61081081081081</v>
      </c>
      <c r="I390">
        <v>-0.8844301765650081</v>
      </c>
    </row>
    <row r="391" spans="1:9">
      <c r="A391" s="1" t="s">
        <v>403</v>
      </c>
      <c r="B391">
        <f>HYPERLINK("https://www.suredividend.com/sure-analysis-CTO/","CTO Realty Growth Inc")</f>
        <v>0</v>
      </c>
      <c r="C391">
        <v>-0.028616852146264</v>
      </c>
      <c r="D391">
        <v>0.04635232332458</v>
      </c>
      <c r="E391">
        <v>-0.06207785828318801</v>
      </c>
      <c r="F391">
        <v>0.002735229759299</v>
      </c>
      <c r="G391">
        <v>-0.057413930527344</v>
      </c>
      <c r="H391">
        <v>0.35893538940579</v>
      </c>
      <c r="I391">
        <v>0.35893538940579</v>
      </c>
    </row>
    <row r="392" spans="1:9">
      <c r="A392" s="1" t="s">
        <v>404</v>
      </c>
      <c r="B392">
        <f>HYPERLINK("https://www.suredividend.com/sure-analysis-research-database/","Custom Truck One Source Inc")</f>
        <v>0</v>
      </c>
      <c r="C392">
        <v>0.025449101796407</v>
      </c>
      <c r="D392">
        <v>0.115635179153094</v>
      </c>
      <c r="E392">
        <v>0.32495164410058</v>
      </c>
      <c r="F392">
        <v>0.08386075949367</v>
      </c>
      <c r="G392">
        <v>-0.124040920716112</v>
      </c>
      <c r="H392">
        <v>-0.07055630936227901</v>
      </c>
      <c r="I392">
        <v>-0.217142857142857</v>
      </c>
    </row>
    <row r="393" spans="1:9">
      <c r="A393" s="1" t="s">
        <v>405</v>
      </c>
      <c r="B393">
        <f>HYPERLINK("https://www.suredividend.com/sure-analysis-CTRE/","CareTrust REIT Inc")</f>
        <v>0</v>
      </c>
      <c r="C393">
        <v>-0.037720543500304</v>
      </c>
      <c r="D393">
        <v>0.143993731541197</v>
      </c>
      <c r="E393">
        <v>0.027862771113698</v>
      </c>
      <c r="F393">
        <v>0.021528525296017</v>
      </c>
      <c r="G393">
        <v>-0.114226511601859</v>
      </c>
      <c r="H393">
        <v>-0.043573347039763</v>
      </c>
      <c r="I393">
        <v>0.541623009007691</v>
      </c>
    </row>
    <row r="394" spans="1:9">
      <c r="A394" s="1" t="s">
        <v>406</v>
      </c>
      <c r="B394">
        <f>HYPERLINK("https://www.suredividend.com/sure-analysis-research-database/","Citi Trends Inc")</f>
        <v>0</v>
      </c>
      <c r="C394">
        <v>-0.007360321177651</v>
      </c>
      <c r="D394">
        <v>0.610749185667752</v>
      </c>
      <c r="E394">
        <v>0.193483507642799</v>
      </c>
      <c r="F394">
        <v>0.120468277945619</v>
      </c>
      <c r="G394">
        <v>-0.634155363748458</v>
      </c>
      <c r="H394">
        <v>-0.4492296268795241</v>
      </c>
      <c r="I394">
        <v>0.211658383393705</v>
      </c>
    </row>
    <row r="395" spans="1:9">
      <c r="A395" s="1" t="s">
        <v>407</v>
      </c>
      <c r="B395">
        <f>HYPERLINK("https://www.suredividend.com/sure-analysis-research-database/","CTS Corp.")</f>
        <v>0</v>
      </c>
      <c r="C395">
        <v>0.09569620253164501</v>
      </c>
      <c r="D395">
        <v>0.017457578507384</v>
      </c>
      <c r="E395">
        <v>0.299106714052444</v>
      </c>
      <c r="F395">
        <v>0.09791983764586401</v>
      </c>
      <c r="G395">
        <v>0.197568338595292</v>
      </c>
      <c r="H395">
        <v>0.190011383195763</v>
      </c>
      <c r="I395">
        <v>0.670275047372056</v>
      </c>
    </row>
    <row r="396" spans="1:9">
      <c r="A396" s="1" t="s">
        <v>408</v>
      </c>
      <c r="B396">
        <f>HYPERLINK("https://www.suredividend.com/sure-analysis-research-database/","Cytosorbents Corp")</f>
        <v>0</v>
      </c>
      <c r="C396">
        <v>0.519685039370078</v>
      </c>
      <c r="D396">
        <v>0.191358024691358</v>
      </c>
      <c r="E396">
        <v>-0.215447154471544</v>
      </c>
      <c r="F396">
        <v>0.24516129032258</v>
      </c>
      <c r="G396">
        <v>-0.4839572192513361</v>
      </c>
      <c r="H396">
        <v>-0.783632286995515</v>
      </c>
      <c r="I396">
        <v>-0.7391891891891891</v>
      </c>
    </row>
    <row r="397" spans="1:9">
      <c r="A397" s="1" t="s">
        <v>409</v>
      </c>
      <c r="B397">
        <f>HYPERLINK("https://www.suredividend.com/sure-analysis-research-database/","CatchMark Timber Trust Inc")</f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>
      <c r="A398" s="1" t="s">
        <v>410</v>
      </c>
      <c r="B398">
        <f>HYPERLINK("https://www.suredividend.com/sure-analysis-research-database/","Citius Pharmaceuticals Inc")</f>
        <v>0</v>
      </c>
      <c r="C398">
        <v>-0.196637168141592</v>
      </c>
      <c r="D398">
        <v>-0.210608695652173</v>
      </c>
      <c r="E398">
        <v>-0.031473380987944</v>
      </c>
      <c r="F398">
        <v>0.149113924050632</v>
      </c>
      <c r="G398">
        <v>-0.429056603773584</v>
      </c>
      <c r="H398">
        <v>-0.196637168141592</v>
      </c>
      <c r="I398">
        <v>-0.768418367346938</v>
      </c>
    </row>
    <row r="399" spans="1:9">
      <c r="A399" s="1" t="s">
        <v>411</v>
      </c>
      <c r="B399">
        <f>HYPERLINK("https://www.suredividend.com/sure-analysis-research-database/","Customers Bancorp Inc")</f>
        <v>0</v>
      </c>
      <c r="C399">
        <v>-0.05533199195171001</v>
      </c>
      <c r="D399">
        <v>-0.09362934362934301</v>
      </c>
      <c r="E399">
        <v>-0.183714865256447</v>
      </c>
      <c r="F399">
        <v>-0.005998588567395001</v>
      </c>
      <c r="G399">
        <v>-0.6229420425645831</v>
      </c>
      <c r="H399">
        <v>0.298755186721991</v>
      </c>
      <c r="I399">
        <v>0.15008226538036</v>
      </c>
    </row>
    <row r="400" spans="1:9">
      <c r="A400" s="1" t="s">
        <v>412</v>
      </c>
      <c r="B400">
        <f>HYPERLINK("https://www.suredividend.com/sure-analysis-research-database/","Cue Biopharma Inc")</f>
        <v>0</v>
      </c>
      <c r="C400">
        <v>-0.050955414012738</v>
      </c>
      <c r="D400">
        <v>-0.022950819672131</v>
      </c>
      <c r="E400">
        <v>0.041958041958042</v>
      </c>
      <c r="F400">
        <v>0.045614035087719</v>
      </c>
      <c r="G400">
        <v>-0.7172675521821631</v>
      </c>
      <c r="H400">
        <v>-0.770592763664357</v>
      </c>
      <c r="I400">
        <v>-0.801200800533689</v>
      </c>
    </row>
    <row r="401" spans="1:9">
      <c r="A401" s="1" t="s">
        <v>413</v>
      </c>
      <c r="B401">
        <f>HYPERLINK("https://www.suredividend.com/sure-analysis-research-database/","CuriosityStream Inc")</f>
        <v>0</v>
      </c>
      <c r="C401">
        <v>0.064</v>
      </c>
      <c r="D401">
        <v>-0.04316546762589901</v>
      </c>
      <c r="E401">
        <v>-0.248587570621468</v>
      </c>
      <c r="F401">
        <v>0.166666666666666</v>
      </c>
      <c r="G401">
        <v>-0.773424190800681</v>
      </c>
      <c r="H401">
        <v>-0.91855480710349</v>
      </c>
      <c r="I401">
        <v>-0.867</v>
      </c>
    </row>
    <row r="402" spans="1:9">
      <c r="A402" s="1" t="s">
        <v>414</v>
      </c>
      <c r="B402">
        <f>HYPERLINK("https://www.suredividend.com/sure-analysis-research-database/","CURO Group Holdings Corp")</f>
        <v>0</v>
      </c>
      <c r="C402">
        <v>0.09734513274336201</v>
      </c>
      <c r="D402">
        <v>-0.156462585034013</v>
      </c>
      <c r="E402">
        <v>-0.370835165578594</v>
      </c>
      <c r="F402">
        <v>0.04788732394366201</v>
      </c>
      <c r="G402">
        <v>-0.765350019554165</v>
      </c>
      <c r="H402">
        <v>-0.7040784669355411</v>
      </c>
      <c r="I402">
        <v>-0.7195141260829241</v>
      </c>
    </row>
    <row r="403" spans="1:9">
      <c r="A403" s="1" t="s">
        <v>415</v>
      </c>
      <c r="B403">
        <f>HYPERLINK("https://www.suredividend.com/sure-analysis-research-database/","Torrid Holdings Inc")</f>
        <v>0</v>
      </c>
      <c r="C403">
        <v>-0.05671641791044701</v>
      </c>
      <c r="D403">
        <v>-0.252955082742316</v>
      </c>
      <c r="E403">
        <v>-0.313043478260869</v>
      </c>
      <c r="F403">
        <v>0.067567567567567</v>
      </c>
      <c r="G403">
        <v>-0.704672897196261</v>
      </c>
      <c r="H403">
        <v>-0.8691511387163561</v>
      </c>
      <c r="I403">
        <v>-0.8691511387163561</v>
      </c>
    </row>
    <row r="404" spans="1:9">
      <c r="A404" s="1" t="s">
        <v>416</v>
      </c>
      <c r="B404">
        <f>HYPERLINK("https://www.suredividend.com/sure-analysis-research-database/","Cutera Inc")</f>
        <v>0</v>
      </c>
      <c r="C404">
        <v>-0.355079991689175</v>
      </c>
      <c r="D404">
        <v>-0.329589632829373</v>
      </c>
      <c r="E404">
        <v>-0.228628230616302</v>
      </c>
      <c r="F404">
        <v>-0.298055178652193</v>
      </c>
      <c r="G404">
        <v>-0.160627366143861</v>
      </c>
      <c r="H404">
        <v>0.297658862876254</v>
      </c>
      <c r="I404">
        <v>-0.336042780748663</v>
      </c>
    </row>
    <row r="405" spans="1:9">
      <c r="A405" s="1" t="s">
        <v>417</v>
      </c>
      <c r="B405">
        <f>HYPERLINK("https://www.suredividend.com/sure-analysis-research-database/","CVB Financial Corp.")</f>
        <v>0</v>
      </c>
      <c r="C405">
        <v>-0.06832879605462701</v>
      </c>
      <c r="D405">
        <v>-0.037937288050392</v>
      </c>
      <c r="E405">
        <v>0.027508992768616</v>
      </c>
      <c r="F405">
        <v>-0.03378640776699</v>
      </c>
      <c r="G405">
        <v>0.12183750490353</v>
      </c>
      <c r="H405">
        <v>0.248388084115666</v>
      </c>
      <c r="I405">
        <v>0.235450681285504</v>
      </c>
    </row>
    <row r="406" spans="1:9">
      <c r="A406" s="1" t="s">
        <v>418</v>
      </c>
      <c r="B406">
        <f>HYPERLINK("https://www.suredividend.com/sure-analysis-research-database/","Cavco Industries Inc")</f>
        <v>0</v>
      </c>
      <c r="C406">
        <v>-0.009577582601421001</v>
      </c>
      <c r="D406">
        <v>0.113195129976966</v>
      </c>
      <c r="E406">
        <v>0.065895485439078</v>
      </c>
      <c r="F406">
        <v>0.04667403314917101</v>
      </c>
      <c r="G406">
        <v>-0.163452027695351</v>
      </c>
      <c r="H406">
        <v>0.314588653269679</v>
      </c>
      <c r="I406">
        <v>0.45505376344086</v>
      </c>
    </row>
    <row r="407" spans="1:9">
      <c r="A407" s="1" t="s">
        <v>419</v>
      </c>
      <c r="B407">
        <f>HYPERLINK("https://www.suredividend.com/sure-analysis-research-database/","Covetrus Inc")</f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>
      <c r="A408" s="1" t="s">
        <v>420</v>
      </c>
      <c r="B408">
        <f>HYPERLINK("https://www.suredividend.com/sure-analysis-research-database/","Commercial Vehicle Group Inc")</f>
        <v>0</v>
      </c>
      <c r="C408">
        <v>0.04874446085672</v>
      </c>
      <c r="D408">
        <v>0.584821428571428</v>
      </c>
      <c r="E408">
        <v>0.171617161716171</v>
      </c>
      <c r="F408">
        <v>0.04258443465491901</v>
      </c>
      <c r="G408">
        <v>-0.123456790123456</v>
      </c>
      <c r="H408">
        <v>-0.205816554809843</v>
      </c>
      <c r="I408">
        <v>-0.340761374187558</v>
      </c>
    </row>
    <row r="409" spans="1:9">
      <c r="A409" s="1" t="s">
        <v>421</v>
      </c>
      <c r="B409">
        <f>HYPERLINK("https://www.suredividend.com/sure-analysis-research-database/","Calavo Growers, Inc")</f>
        <v>0</v>
      </c>
      <c r="C409">
        <v>-0.09203906481207401</v>
      </c>
      <c r="D409">
        <v>0.041115228515969</v>
      </c>
      <c r="E409">
        <v>-0.279153969234817</v>
      </c>
      <c r="F409">
        <v>0.043537414965986</v>
      </c>
      <c r="G409">
        <v>-0.292508849404466</v>
      </c>
      <c r="H409">
        <v>-0.5462531871720391</v>
      </c>
      <c r="I409">
        <v>-0.627165852864187</v>
      </c>
    </row>
    <row r="410" spans="1:9">
      <c r="A410" s="1" t="s">
        <v>422</v>
      </c>
      <c r="B410">
        <f>HYPERLINK("https://www.suredividend.com/sure-analysis-research-database/","CVR Energy Inc")</f>
        <v>0</v>
      </c>
      <c r="C410">
        <v>0.084570245081118</v>
      </c>
      <c r="D410">
        <v>-0.053748415134002</v>
      </c>
      <c r="E410">
        <v>0.04211926328602501</v>
      </c>
      <c r="F410">
        <v>0.002552648372686</v>
      </c>
      <c r="G410">
        <v>0.6461724656436151</v>
      </c>
      <c r="H410">
        <v>1.271856313403374</v>
      </c>
      <c r="I410">
        <v>0.156682214262311</v>
      </c>
    </row>
    <row r="411" spans="1:9">
      <c r="A411" s="1" t="s">
        <v>423</v>
      </c>
      <c r="B411">
        <f>HYPERLINK("https://www.suredividend.com/sure-analysis-research-database/","Covenant Logistics Group Inc")</f>
        <v>0</v>
      </c>
      <c r="C411">
        <v>-0.09494517250601701</v>
      </c>
      <c r="D411">
        <v>0.142926621679129</v>
      </c>
      <c r="E411">
        <v>0.285240621807312</v>
      </c>
      <c r="F411">
        <v>-0.021116575065085</v>
      </c>
      <c r="G411">
        <v>0.5204273730843021</v>
      </c>
      <c r="H411">
        <v>1.168313405866749</v>
      </c>
      <c r="I411">
        <v>0.2158841029621</v>
      </c>
    </row>
    <row r="412" spans="1:9">
      <c r="A412" s="1" t="s">
        <v>424</v>
      </c>
      <c r="B412">
        <f>HYPERLINK("https://www.suredividend.com/sure-analysis-research-database/","Commvault Systems Inc")</f>
        <v>0</v>
      </c>
      <c r="C412">
        <v>0.020563950771148</v>
      </c>
      <c r="D412">
        <v>0.187635968092821</v>
      </c>
      <c r="E412">
        <v>-0.021216196025698</v>
      </c>
      <c r="F412">
        <v>0.042488860598345</v>
      </c>
      <c r="G412">
        <v>-0.017546490701859</v>
      </c>
      <c r="H412">
        <v>0.143280977312391</v>
      </c>
      <c r="I412">
        <v>0.200916590284143</v>
      </c>
    </row>
    <row r="413" spans="1:9">
      <c r="A413" s="1" t="s">
        <v>425</v>
      </c>
      <c r="B413">
        <f>HYPERLINK("https://www.suredividend.com/sure-analysis-research-database/","Cel-Sci Corp.")</f>
        <v>0</v>
      </c>
      <c r="C413">
        <v>0.08786610878661001</v>
      </c>
      <c r="D413">
        <v>-0.23076923076923</v>
      </c>
      <c r="E413">
        <v>-0.437229437229437</v>
      </c>
      <c r="F413">
        <v>0.106382978723404</v>
      </c>
      <c r="G413">
        <v>-0.5799676898222941</v>
      </c>
      <c r="H413">
        <v>-0.8129496402877691</v>
      </c>
      <c r="I413">
        <v>0.31979695431472</v>
      </c>
    </row>
    <row r="414" spans="1:9">
      <c r="A414" s="1" t="s">
        <v>426</v>
      </c>
      <c r="B414">
        <f>HYPERLINK("https://www.suredividend.com/sure-analysis-research-database/","CVRx Inc")</f>
        <v>0</v>
      </c>
      <c r="C414">
        <v>0.160261058738216</v>
      </c>
      <c r="D414">
        <v>0.622718052738336</v>
      </c>
      <c r="E414">
        <v>1.388059701492537</v>
      </c>
      <c r="F414">
        <v>-0.128065395095367</v>
      </c>
      <c r="G414">
        <v>0.519468186134852</v>
      </c>
      <c r="H414">
        <v>-0.428571428571428</v>
      </c>
      <c r="I414">
        <v>-0.428571428571428</v>
      </c>
    </row>
    <row r="415" spans="1:9">
      <c r="A415" s="1" t="s">
        <v>427</v>
      </c>
      <c r="B415">
        <f>HYPERLINK("https://www.suredividend.com/sure-analysis-CWEN/","Clearway Energy Inc")</f>
        <v>0</v>
      </c>
      <c r="C415">
        <v>-0.010006064281382</v>
      </c>
      <c r="D415">
        <v>0.048379587262749</v>
      </c>
      <c r="E415">
        <v>-0.06555162505294701</v>
      </c>
      <c r="F415">
        <v>0.024474427361154</v>
      </c>
      <c r="G415">
        <v>-0.005676627157666</v>
      </c>
      <c r="H415">
        <v>-0.017146503871208</v>
      </c>
      <c r="I415">
        <v>0.8144533854977101</v>
      </c>
    </row>
    <row r="416" spans="1:9">
      <c r="A416" s="1" t="s">
        <v>428</v>
      </c>
      <c r="B416">
        <f>HYPERLINK("https://www.suredividend.com/sure-analysis-research-database/","Clearway Energy Inc")</f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>
      <c r="A417" s="1" t="s">
        <v>429</v>
      </c>
      <c r="B417">
        <f>HYPERLINK("https://www.suredividend.com/sure-analysis-CWH/","Camping World Holdings Inc")</f>
        <v>0</v>
      </c>
      <c r="C417">
        <v>0.06416048851737101</v>
      </c>
      <c r="D417">
        <v>-0.004080916931023</v>
      </c>
      <c r="E417">
        <v>0.114356424605917</v>
      </c>
      <c r="F417">
        <v>0.119623655913978</v>
      </c>
      <c r="G417">
        <v>-0.292573007371508</v>
      </c>
      <c r="H417">
        <v>0.028496641643619</v>
      </c>
      <c r="I417">
        <v>-0.308108886329405</v>
      </c>
    </row>
    <row r="418" spans="1:9">
      <c r="A418" s="1" t="s">
        <v>430</v>
      </c>
      <c r="B418">
        <f>HYPERLINK("https://www.suredividend.com/sure-analysis-research-database/","Cushman &amp; Wakefield plc")</f>
        <v>0</v>
      </c>
      <c r="C418">
        <v>0.07989907485281701</v>
      </c>
      <c r="D418">
        <v>0.122377622377622</v>
      </c>
      <c r="E418">
        <v>-0.15079365079365</v>
      </c>
      <c r="F418">
        <v>0.030497592295344</v>
      </c>
      <c r="G418">
        <v>-0.408839779005524</v>
      </c>
      <c r="H418">
        <v>-0.104602510460251</v>
      </c>
      <c r="I418">
        <v>-0.279056709713643</v>
      </c>
    </row>
    <row r="419" spans="1:9">
      <c r="A419" s="1" t="s">
        <v>431</v>
      </c>
      <c r="B419">
        <f>HYPERLINK("https://www.suredividend.com/sure-analysis-research-database/","Casella Waste Systems, Inc.")</f>
        <v>0</v>
      </c>
      <c r="C419">
        <v>-0.051196172248803</v>
      </c>
      <c r="D419">
        <v>0.107666527021365</v>
      </c>
      <c r="E419">
        <v>0.071602269656849</v>
      </c>
      <c r="F419">
        <v>0.000126087504728</v>
      </c>
      <c r="G419">
        <v>-0.012204234122042</v>
      </c>
      <c r="H419">
        <v>0.344862665310274</v>
      </c>
      <c r="I419">
        <v>2.41455015066724</v>
      </c>
    </row>
    <row r="420" spans="1:9">
      <c r="A420" s="1" t="s">
        <v>432</v>
      </c>
      <c r="B420">
        <f>HYPERLINK("https://www.suredividend.com/sure-analysis-CWT/","California Water Service Group")</f>
        <v>0</v>
      </c>
      <c r="C420">
        <v>-0.041005498821681</v>
      </c>
      <c r="D420">
        <v>0.151407002757793</v>
      </c>
      <c r="E420">
        <v>0.110242092435293</v>
      </c>
      <c r="F420">
        <v>0.006596306068601</v>
      </c>
      <c r="G420">
        <v>-0.08427408768705701</v>
      </c>
      <c r="H420">
        <v>0.130282459512408</v>
      </c>
      <c r="I420">
        <v>0.5214698236002301</v>
      </c>
    </row>
    <row r="421" spans="1:9">
      <c r="A421" s="1" t="s">
        <v>433</v>
      </c>
      <c r="B421">
        <f>HYPERLINK("https://www.suredividend.com/sure-analysis-research-database/","CoreCivic Inc")</f>
        <v>0</v>
      </c>
      <c r="C421">
        <v>-0.03154305200341</v>
      </c>
      <c r="D421">
        <v>0.204665959703075</v>
      </c>
      <c r="E421">
        <v>0.028054298642533</v>
      </c>
      <c r="F421">
        <v>-0.017301038062283</v>
      </c>
      <c r="G421">
        <v>0.09546769527483101</v>
      </c>
      <c r="H421">
        <v>0.698056801195814</v>
      </c>
      <c r="I421">
        <v>-0.372805370906119</v>
      </c>
    </row>
    <row r="422" spans="1:9">
      <c r="A422" s="1" t="s">
        <v>434</v>
      </c>
      <c r="B422">
        <f>HYPERLINK("https://www.suredividend.com/sure-analysis-research-database/","Community Health Systems, Inc.")</f>
        <v>0</v>
      </c>
      <c r="C422">
        <v>0.276536312849162</v>
      </c>
      <c r="D422">
        <v>1.207729468599034</v>
      </c>
      <c r="E422">
        <v>0.15989847715736</v>
      </c>
      <c r="F422">
        <v>0.05787037037037</v>
      </c>
      <c r="G422">
        <v>-0.620431893687707</v>
      </c>
      <c r="H422">
        <v>-0.431592039800994</v>
      </c>
      <c r="I422">
        <v>0.145363408521303</v>
      </c>
    </row>
    <row r="423" spans="1:9">
      <c r="A423" s="1" t="s">
        <v>435</v>
      </c>
      <c r="B423">
        <f>HYPERLINK("https://www.suredividend.com/sure-analysis-research-database/","CryoPort Inc")</f>
        <v>0</v>
      </c>
      <c r="C423">
        <v>0.146761734997029</v>
      </c>
      <c r="D423">
        <v>-0.235037653586999</v>
      </c>
      <c r="E423">
        <v>-0.468904788112273</v>
      </c>
      <c r="F423">
        <v>0.112391930835734</v>
      </c>
      <c r="G423">
        <v>-0.5730088495575221</v>
      </c>
      <c r="H423">
        <v>-0.659010600706713</v>
      </c>
      <c r="I423">
        <v>1.322503008423586</v>
      </c>
    </row>
    <row r="424" spans="1:9">
      <c r="A424" s="1" t="s">
        <v>436</v>
      </c>
      <c r="B424">
        <f>HYPERLINK("https://www.suredividend.com/sure-analysis-research-database/","Cyteir Therapeutics Inc")</f>
        <v>0</v>
      </c>
      <c r="C424">
        <v>0.176923076923076</v>
      </c>
      <c r="D424">
        <v>-0.21938775510204</v>
      </c>
      <c r="E424">
        <v>-0.573816155988857</v>
      </c>
      <c r="F424">
        <v>-0.072727272727272</v>
      </c>
      <c r="G424">
        <v>-0.814545454545454</v>
      </c>
      <c r="H424">
        <v>-0.912068965517241</v>
      </c>
      <c r="I424">
        <v>-0.912068965517241</v>
      </c>
    </row>
    <row r="425" spans="1:9">
      <c r="A425" s="1" t="s">
        <v>437</v>
      </c>
      <c r="B425">
        <f>HYPERLINK("https://www.suredividend.com/sure-analysis-research-database/","Cytokinetics Inc")</f>
        <v>0</v>
      </c>
      <c r="C425">
        <v>0.182555213866368</v>
      </c>
      <c r="D425">
        <v>-0.1143216080402</v>
      </c>
      <c r="E425">
        <v>-0.09032258064516101</v>
      </c>
      <c r="F425">
        <v>-0.076822348319511</v>
      </c>
      <c r="G425">
        <v>0.203413940256045</v>
      </c>
      <c r="H425">
        <v>0.9628770301624121</v>
      </c>
      <c r="I425">
        <v>3.779661016949152</v>
      </c>
    </row>
    <row r="426" spans="1:9">
      <c r="A426" s="1" t="s">
        <v>438</v>
      </c>
      <c r="B426">
        <f>HYPERLINK("https://www.suredividend.com/sure-analysis-research-database/","Citizens &amp; Northern Corp")</f>
        <v>0</v>
      </c>
      <c r="C426">
        <v>-0.05451518934665001</v>
      </c>
      <c r="D426">
        <v>-0.003928170594837</v>
      </c>
      <c r="E426">
        <v>-0.038750375488134</v>
      </c>
      <c r="F426">
        <v>-0.006124234470691</v>
      </c>
      <c r="G426">
        <v>-0.127372168856558</v>
      </c>
      <c r="H426">
        <v>0.200515714497072</v>
      </c>
      <c r="I426">
        <v>0.191400104876769</v>
      </c>
    </row>
    <row r="427" spans="1:9">
      <c r="A427" s="1" t="s">
        <v>439</v>
      </c>
      <c r="B427">
        <f>HYPERLINK("https://www.suredividend.com/sure-analysis-research-database/","Daktronics Inc.")</f>
        <v>0</v>
      </c>
      <c r="C427">
        <v>0.5101010101010101</v>
      </c>
      <c r="D427">
        <v>0.067857142857143</v>
      </c>
      <c r="E427">
        <v>-0.006644518272425</v>
      </c>
      <c r="F427">
        <v>0.06028368794326201</v>
      </c>
      <c r="G427">
        <v>-0.419417475728155</v>
      </c>
      <c r="H427">
        <v>-0.4272030651340991</v>
      </c>
      <c r="I427">
        <v>-0.6600070500210361</v>
      </c>
    </row>
    <row r="428" spans="1:9">
      <c r="A428" s="1" t="s">
        <v>440</v>
      </c>
      <c r="B428">
        <f>HYPERLINK("https://www.suredividend.com/sure-analysis-research-database/","Dana Inc")</f>
        <v>0</v>
      </c>
      <c r="C428">
        <v>0.05236907730673301</v>
      </c>
      <c r="D428">
        <v>0.373273239069948</v>
      </c>
      <c r="E428">
        <v>0.197817247716838</v>
      </c>
      <c r="F428">
        <v>0.115664243225379</v>
      </c>
      <c r="G428">
        <v>-0.27315943127309</v>
      </c>
      <c r="H428">
        <v>-0.188601972735488</v>
      </c>
      <c r="I428">
        <v>-0.455371431521346</v>
      </c>
    </row>
    <row r="429" spans="1:9">
      <c r="A429" s="1" t="s">
        <v>441</v>
      </c>
      <c r="B429">
        <f>HYPERLINK("https://www.suredividend.com/sure-analysis-research-database/","Day One Biopharmaceuticals Inc")</f>
        <v>0</v>
      </c>
      <c r="C429">
        <v>0.06780487804878001</v>
      </c>
      <c r="D429">
        <v>0.119693094629155</v>
      </c>
      <c r="E429">
        <v>0.116836734693877</v>
      </c>
      <c r="F429">
        <v>0.017193308550185</v>
      </c>
      <c r="G429">
        <v>0.370695053224796</v>
      </c>
      <c r="H429">
        <v>-0.154499806875241</v>
      </c>
      <c r="I429">
        <v>-0.154499806875241</v>
      </c>
    </row>
    <row r="430" spans="1:9">
      <c r="A430" s="1" t="s">
        <v>442</v>
      </c>
      <c r="B430">
        <f>HYPERLINK("https://www.suredividend.com/sure-analysis-research-database/","Diebold Nixdorf Inc")</f>
        <v>0</v>
      </c>
      <c r="C430">
        <v>-0.023668639053254</v>
      </c>
      <c r="D430">
        <v>-0.423076923076923</v>
      </c>
      <c r="E430">
        <v>-0.472843450479233</v>
      </c>
      <c r="F430">
        <v>0.161971830985915</v>
      </c>
      <c r="G430">
        <v>-0.830246913580246</v>
      </c>
      <c r="H430">
        <v>-0.8522829006266781</v>
      </c>
      <c r="I430">
        <v>-0.9036833810051951</v>
      </c>
    </row>
    <row r="431" spans="1:9">
      <c r="A431" s="1" t="s">
        <v>443</v>
      </c>
      <c r="B431">
        <f>HYPERLINK("https://www.suredividend.com/sure-analysis-research-database/","Designer Brands Inc")</f>
        <v>0</v>
      </c>
      <c r="C431">
        <v>-0.101778656126482</v>
      </c>
      <c r="D431">
        <v>-0.430846967334748</v>
      </c>
      <c r="E431">
        <v>-0.2924087682152191</v>
      </c>
      <c r="F431">
        <v>-0.07055214723926301</v>
      </c>
      <c r="G431">
        <v>-0.341447511410562</v>
      </c>
      <c r="H431">
        <v>0.114352964252439</v>
      </c>
      <c r="I431">
        <v>-0.525534491398029</v>
      </c>
    </row>
    <row r="432" spans="1:9">
      <c r="A432" s="1" t="s">
        <v>444</v>
      </c>
      <c r="B432">
        <f>HYPERLINK("https://www.suredividend.com/sure-analysis-research-database/","DigitalBridge Group Inc")</f>
        <v>0</v>
      </c>
      <c r="C432">
        <v>-0.121282118448312</v>
      </c>
      <c r="D432">
        <v>-0.126130819874011</v>
      </c>
      <c r="E432">
        <v>-0.4574965450321971</v>
      </c>
      <c r="F432">
        <v>0.011882998171846</v>
      </c>
      <c r="G432">
        <v>-0.639975412955031</v>
      </c>
      <c r="H432">
        <v>1.227364185110664</v>
      </c>
      <c r="I432">
        <v>0.027387725176103</v>
      </c>
    </row>
    <row r="433" spans="1:9">
      <c r="A433" s="1" t="s">
        <v>445</v>
      </c>
      <c r="B433">
        <f>HYPERLINK("https://www.suredividend.com/sure-analysis-research-database/","Ducommun Inc.")</f>
        <v>0</v>
      </c>
      <c r="C433">
        <v>0.0784716516023</v>
      </c>
      <c r="D433">
        <v>0.26201923076923</v>
      </c>
      <c r="E433">
        <v>0.228932584269663</v>
      </c>
      <c r="F433">
        <v>0.05084067253803001</v>
      </c>
      <c r="G433">
        <v>0.117258991274739</v>
      </c>
      <c r="H433">
        <v>-0.037050623624358</v>
      </c>
      <c r="I433">
        <v>0.8369489153254021</v>
      </c>
    </row>
    <row r="434" spans="1:9">
      <c r="A434" s="1" t="s">
        <v>446</v>
      </c>
      <c r="B434">
        <f>HYPERLINK("https://www.suredividend.com/sure-analysis-research-database/","Dime Community Bancshares Inc")</f>
        <v>0</v>
      </c>
      <c r="C434">
        <v>-0.00679012345679</v>
      </c>
      <c r="D434">
        <v>0.07119199235718801</v>
      </c>
      <c r="E434">
        <v>0.07362935432104101</v>
      </c>
      <c r="F434">
        <v>0.010995915802701</v>
      </c>
      <c r="G434">
        <v>-0.09851358392676</v>
      </c>
      <c r="H434">
        <v>0.253383707569767</v>
      </c>
      <c r="I434">
        <v>-0.028586953240559</v>
      </c>
    </row>
    <row r="435" spans="1:9">
      <c r="A435" s="1" t="s">
        <v>447</v>
      </c>
      <c r="B435">
        <f>HYPERLINK("https://www.suredividend.com/sure-analysis-research-database/","Deciphera Pharmaceuticals Inc")</f>
        <v>0</v>
      </c>
      <c r="C435">
        <v>0.35515873015873</v>
      </c>
      <c r="D435">
        <v>0.173539518900343</v>
      </c>
      <c r="E435">
        <v>0.565317035905271</v>
      </c>
      <c r="F435">
        <v>0.250152532031726</v>
      </c>
      <c r="G435">
        <v>1.294512877939529</v>
      </c>
      <c r="H435">
        <v>-0.6356685633001421</v>
      </c>
      <c r="I435">
        <v>-0.182688472277622</v>
      </c>
    </row>
    <row r="436" spans="1:9">
      <c r="A436" s="1" t="s">
        <v>448</v>
      </c>
      <c r="B436">
        <f>HYPERLINK("https://www.suredividend.com/sure-analysis-research-database/","3D Systems Corp.")</f>
        <v>0</v>
      </c>
      <c r="C436">
        <v>-0.08963282937365001</v>
      </c>
      <c r="D436">
        <v>-0.001184834123222</v>
      </c>
      <c r="E436">
        <v>-0.169458128078817</v>
      </c>
      <c r="F436">
        <v>0.139189189189189</v>
      </c>
      <c r="G436">
        <v>-0.574886535552193</v>
      </c>
      <c r="H436">
        <v>-0.641733956651083</v>
      </c>
      <c r="I436">
        <v>-0.107936507936507</v>
      </c>
    </row>
    <row r="437" spans="1:9">
      <c r="A437" s="1" t="s">
        <v>449</v>
      </c>
      <c r="B437">
        <f>HYPERLINK("https://www.suredividend.com/sure-analysis-DDS/","Dillard`s Inc.")</f>
        <v>0</v>
      </c>
      <c r="C437">
        <v>0.017388766469793</v>
      </c>
      <c r="D437">
        <v>0.219303917598354</v>
      </c>
      <c r="E437">
        <v>0.6534826649298131</v>
      </c>
      <c r="F437">
        <v>0.011695544554455</v>
      </c>
      <c r="G437">
        <v>0.4718804129799881</v>
      </c>
      <c r="H437">
        <v>4.956527441779127</v>
      </c>
      <c r="I437">
        <v>4.823247398078033</v>
      </c>
    </row>
    <row r="438" spans="1:9">
      <c r="A438" s="1" t="s">
        <v>450</v>
      </c>
      <c r="B438">
        <f>HYPERLINK("https://www.suredividend.com/sure-analysis-DEA/","Easterly Government Properties Inc")</f>
        <v>0</v>
      </c>
      <c r="C438">
        <v>-0.031413612565444</v>
      </c>
      <c r="D438">
        <v>0.021464559320864</v>
      </c>
      <c r="E438">
        <v>-0.185622943422804</v>
      </c>
      <c r="F438">
        <v>0.037140854940434</v>
      </c>
      <c r="G438">
        <v>-0.308178452563479</v>
      </c>
      <c r="H438">
        <v>-0.240838770569165</v>
      </c>
      <c r="I438">
        <v>-0.05976227232588101</v>
      </c>
    </row>
    <row r="439" spans="1:9">
      <c r="A439" s="1" t="s">
        <v>451</v>
      </c>
      <c r="B439">
        <f>HYPERLINK("https://www.suredividend.com/sure-analysis-research-database/","Denbury Inc.")</f>
        <v>0</v>
      </c>
      <c r="C439">
        <v>0.016174488420536</v>
      </c>
      <c r="D439">
        <v>-0.10539374325782</v>
      </c>
      <c r="E439">
        <v>0.313222486144101</v>
      </c>
      <c r="F439">
        <v>-0.047000689496667</v>
      </c>
      <c r="G439">
        <v>0.06772241534698001</v>
      </c>
      <c r="H439">
        <v>1.962843872811718</v>
      </c>
      <c r="I439">
        <v>3.581767955801105</v>
      </c>
    </row>
    <row r="440" spans="1:9">
      <c r="A440" s="1" t="s">
        <v>452</v>
      </c>
      <c r="B440">
        <f>HYPERLINK("https://www.suredividend.com/sure-analysis-research-database/","Denny`s Corp.")</f>
        <v>0</v>
      </c>
      <c r="C440">
        <v>0.08942307692307601</v>
      </c>
      <c r="D440">
        <v>0.17287784679089</v>
      </c>
      <c r="E440">
        <v>0.25055187637969</v>
      </c>
      <c r="F440">
        <v>0.230184581976112</v>
      </c>
      <c r="G440">
        <v>-0.286523929471032</v>
      </c>
      <c r="H440">
        <v>-0.221840659340659</v>
      </c>
      <c r="I440">
        <v>-0.168745414526779</v>
      </c>
    </row>
    <row r="441" spans="1:9">
      <c r="A441" s="1" t="s">
        <v>453</v>
      </c>
      <c r="B441">
        <f>HYPERLINK("https://www.suredividend.com/sure-analysis-research-database/","Donnelley Financial Solutions Inc")</f>
        <v>0</v>
      </c>
      <c r="C441">
        <v>0.103448275862068</v>
      </c>
      <c r="D441">
        <v>0.063874345549738</v>
      </c>
      <c r="E441">
        <v>0.332896031485733</v>
      </c>
      <c r="F441">
        <v>0.051487710219922</v>
      </c>
      <c r="G441">
        <v>0.030164765525982</v>
      </c>
      <c r="H441">
        <v>1.280583613916947</v>
      </c>
      <c r="I441">
        <v>1.056680161943319</v>
      </c>
    </row>
    <row r="442" spans="1:9">
      <c r="A442" s="1" t="s">
        <v>454</v>
      </c>
      <c r="B442">
        <f>HYPERLINK("https://www.suredividend.com/sure-analysis-DGICA/","Donegal Group Inc.")</f>
        <v>0</v>
      </c>
      <c r="C442">
        <v>0.00139470013947</v>
      </c>
      <c r="D442">
        <v>0.104394505714241</v>
      </c>
      <c r="E442">
        <v>-0.123615391657258</v>
      </c>
      <c r="F442">
        <v>0.011267605633802</v>
      </c>
      <c r="G442">
        <v>0.018446939339995</v>
      </c>
      <c r="H442">
        <v>0.09733918173342901</v>
      </c>
      <c r="I442">
        <v>0.012344112401215</v>
      </c>
    </row>
    <row r="443" spans="1:9">
      <c r="A443" s="1" t="s">
        <v>455</v>
      </c>
      <c r="B443">
        <f>HYPERLINK("https://www.suredividend.com/sure-analysis-research-database/","Digi International, Inc.")</f>
        <v>0</v>
      </c>
      <c r="C443">
        <v>-0.07664974619289301</v>
      </c>
      <c r="D443">
        <v>-0.009798584648884001</v>
      </c>
      <c r="E443">
        <v>0.496503496503496</v>
      </c>
      <c r="F443">
        <v>-0.004651162790697</v>
      </c>
      <c r="G443">
        <v>0.498352553542009</v>
      </c>
      <c r="H443">
        <v>0.9147368421052631</v>
      </c>
      <c r="I443">
        <v>2.789583333333333</v>
      </c>
    </row>
    <row r="444" spans="1:9">
      <c r="A444" s="1" t="s">
        <v>456</v>
      </c>
      <c r="B444">
        <f>HYPERLINK("https://www.suredividend.com/sure-analysis-DHC/","Diversified Healthcare Trust")</f>
        <v>0</v>
      </c>
      <c r="C444">
        <v>0.040718095485885</v>
      </c>
      <c r="D444">
        <v>-0.120492524186455</v>
      </c>
      <c r="E444">
        <v>-0.5437696036498431</v>
      </c>
      <c r="F444">
        <v>0.236858379715522</v>
      </c>
      <c r="G444">
        <v>-0.75944190522011</v>
      </c>
      <c r="H444">
        <v>-0.8056695897199211</v>
      </c>
      <c r="I444">
        <v>-0.9454806899418681</v>
      </c>
    </row>
    <row r="445" spans="1:9">
      <c r="A445" s="1" t="s">
        <v>457</v>
      </c>
      <c r="B445">
        <f>HYPERLINK("https://www.suredividend.com/sure-analysis-research-database/","Diamond Hill Investment Group, Inc.")</f>
        <v>0</v>
      </c>
      <c r="C445">
        <v>-0.001312479492508</v>
      </c>
      <c r="D445">
        <v>0.139424447773467</v>
      </c>
      <c r="E445">
        <v>0.053467119388709</v>
      </c>
      <c r="F445">
        <v>-0.012971570641011</v>
      </c>
      <c r="G445">
        <v>-0.002416117354583</v>
      </c>
      <c r="H445">
        <v>0.224313845902182</v>
      </c>
      <c r="I445">
        <v>0.110120257962234</v>
      </c>
    </row>
    <row r="446" spans="1:9">
      <c r="A446" s="1" t="s">
        <v>458</v>
      </c>
      <c r="B446">
        <f>HYPERLINK("https://www.suredividend.com/sure-analysis-DHT/","DHT Holdings Inc")</f>
        <v>0</v>
      </c>
      <c r="C446">
        <v>-0.095860566448801</v>
      </c>
      <c r="D446">
        <v>0.106489628326134</v>
      </c>
      <c r="E446">
        <v>0.370609508397047</v>
      </c>
      <c r="F446">
        <v>-0.06531531531531501</v>
      </c>
      <c r="G446">
        <v>0.5795082591154751</v>
      </c>
      <c r="H446">
        <v>0.504249959222139</v>
      </c>
      <c r="I446">
        <v>2.024120090359251</v>
      </c>
    </row>
    <row r="447" spans="1:9">
      <c r="A447" s="1" t="s">
        <v>459</v>
      </c>
      <c r="B447">
        <f>HYPERLINK("https://www.suredividend.com/sure-analysis-research-database/","1stdibs.com Inc")</f>
        <v>0</v>
      </c>
      <c r="C447">
        <v>-0.06215722120658101</v>
      </c>
      <c r="D447">
        <v>-0.15485996705107</v>
      </c>
      <c r="E447">
        <v>-0.15485996705107</v>
      </c>
      <c r="F447">
        <v>0.009842519685039</v>
      </c>
      <c r="G447">
        <v>-0.5349048050770621</v>
      </c>
      <c r="H447">
        <v>-0.8200000000000001</v>
      </c>
      <c r="I447">
        <v>-0.8200000000000001</v>
      </c>
    </row>
    <row r="448" spans="1:9">
      <c r="A448" s="1" t="s">
        <v>460</v>
      </c>
      <c r="B448">
        <f>HYPERLINK("https://www.suredividend.com/sure-analysis-research-database/","DICE Therapeutics Inc")</f>
        <v>0</v>
      </c>
      <c r="C448">
        <v>-0.07564062982401901</v>
      </c>
      <c r="D448">
        <v>0.320688134097926</v>
      </c>
      <c r="E448">
        <v>0.6432491767288691</v>
      </c>
      <c r="F448">
        <v>-0.04038461538461501</v>
      </c>
      <c r="G448">
        <v>0.418285172903836</v>
      </c>
      <c r="H448">
        <v>-0.188397939821089</v>
      </c>
      <c r="I448">
        <v>-0.188397939821089</v>
      </c>
    </row>
    <row r="449" spans="1:9">
      <c r="A449" s="1" t="s">
        <v>461</v>
      </c>
      <c r="B449">
        <f>HYPERLINK("https://www.suredividend.com/sure-analysis-research-database/","Dine Brands Global Inc")</f>
        <v>0</v>
      </c>
      <c r="C449">
        <v>0.010124536898878</v>
      </c>
      <c r="D449">
        <v>0.06246478355667601</v>
      </c>
      <c r="E449">
        <v>0.040607538443542</v>
      </c>
      <c r="F449">
        <v>0.074148606811145</v>
      </c>
      <c r="G449">
        <v>-0.070655121843421</v>
      </c>
      <c r="H449">
        <v>0.094253395591762</v>
      </c>
      <c r="I449">
        <v>0.637379155094422</v>
      </c>
    </row>
    <row r="450" spans="1:9">
      <c r="A450" s="1" t="s">
        <v>462</v>
      </c>
      <c r="B450">
        <f>HYPERLINK("https://www.suredividend.com/sure-analysis-research-database/","Diodes, Inc.")</f>
        <v>0</v>
      </c>
      <c r="C450">
        <v>-0.055638579147028</v>
      </c>
      <c r="D450">
        <v>0.174242424242424</v>
      </c>
      <c r="E450">
        <v>0.260162601626016</v>
      </c>
      <c r="F450">
        <v>0.07893354347255001</v>
      </c>
      <c r="G450">
        <v>-0.17948461845785</v>
      </c>
      <c r="H450">
        <v>0.06632917964693601</v>
      </c>
      <c r="I450">
        <v>1.78569006442862</v>
      </c>
    </row>
    <row r="451" spans="1:9">
      <c r="A451" s="1" t="s">
        <v>463</v>
      </c>
      <c r="B451">
        <f>HYPERLINK("https://www.suredividend.com/sure-analysis-research-database/","Daily Journal Corporation")</f>
        <v>0</v>
      </c>
      <c r="C451">
        <v>0.109707064905226</v>
      </c>
      <c r="D451">
        <v>0.136470588235294</v>
      </c>
      <c r="E451">
        <v>0.06536284096757501</v>
      </c>
      <c r="F451">
        <v>0.156840046305536</v>
      </c>
      <c r="G451">
        <v>-0.225133689839572</v>
      </c>
      <c r="H451">
        <v>-0.23170731707317</v>
      </c>
      <c r="I451">
        <v>0.270941145513551</v>
      </c>
    </row>
    <row r="452" spans="1:9">
      <c r="A452" s="1" t="s">
        <v>464</v>
      </c>
      <c r="B452">
        <f>HYPERLINK("https://www.suredividend.com/sure-analysis-research-database/","Delek US Holdings Inc")</f>
        <v>0</v>
      </c>
      <c r="C452">
        <v>-0.059730250481695</v>
      </c>
      <c r="D452">
        <v>-0.180294825107166</v>
      </c>
      <c r="E452">
        <v>0.04965649560994</v>
      </c>
      <c r="F452">
        <v>-0.09629629629629601</v>
      </c>
      <c r="G452">
        <v>0.465571092210849</v>
      </c>
      <c r="H452">
        <v>0.48831308251598</v>
      </c>
      <c r="I452">
        <v>-0.235572208663723</v>
      </c>
    </row>
    <row r="453" spans="1:9">
      <c r="A453" s="1" t="s">
        <v>465</v>
      </c>
      <c r="B453">
        <f>HYPERLINK("https://www.suredividend.com/sure-analysis-research-database/","Duluth Holdings Inc")</f>
        <v>0</v>
      </c>
      <c r="C453">
        <v>-0.01311475409836</v>
      </c>
      <c r="D453">
        <v>-0.146099290780141</v>
      </c>
      <c r="E453">
        <v>-0.410958904109589</v>
      </c>
      <c r="F453">
        <v>-0.02588996763754</v>
      </c>
      <c r="G453">
        <v>-0.5989340439706861</v>
      </c>
      <c r="H453">
        <v>-0.4867860187553281</v>
      </c>
      <c r="I453">
        <v>-0.664623955431754</v>
      </c>
    </row>
    <row r="454" spans="1:9">
      <c r="A454" s="1" t="s">
        <v>466</v>
      </c>
      <c r="B454">
        <f>HYPERLINK("https://www.suredividend.com/sure-analysis-research-database/","Deluxe Corp.")</f>
        <v>0</v>
      </c>
      <c r="C454">
        <v>0.087158628704241</v>
      </c>
      <c r="D454">
        <v>0.14706459365344</v>
      </c>
      <c r="E454">
        <v>-0.09198559600881301</v>
      </c>
      <c r="F454">
        <v>0.10188457008245</v>
      </c>
      <c r="G454">
        <v>-0.385447152068162</v>
      </c>
      <c r="H454">
        <v>-0.350847610522444</v>
      </c>
      <c r="I454">
        <v>-0.712280000307557</v>
      </c>
    </row>
    <row r="455" spans="1:9">
      <c r="A455" s="1" t="s">
        <v>467</v>
      </c>
      <c r="B455">
        <f>HYPERLINK("https://www.suredividend.com/sure-analysis-research-database/","Desktop Metal Inc")</f>
        <v>0</v>
      </c>
      <c r="C455">
        <v>-0.136094674556213</v>
      </c>
      <c r="D455">
        <v>-0.4341085271317821</v>
      </c>
      <c r="E455">
        <v>-0.418326693227091</v>
      </c>
      <c r="F455">
        <v>0.07352941176470501</v>
      </c>
      <c r="G455">
        <v>-0.676991150442477</v>
      </c>
      <c r="H455">
        <v>-0.9297401347449471</v>
      </c>
      <c r="I455">
        <v>-0.8494845360824741</v>
      </c>
    </row>
    <row r="456" spans="1:9">
      <c r="A456" s="1" t="s">
        <v>468</v>
      </c>
      <c r="B456">
        <f>HYPERLINK("https://www.suredividend.com/sure-analysis-research-database/","Digimarc Corporation")</f>
        <v>0</v>
      </c>
      <c r="C456">
        <v>-0.108095676172953</v>
      </c>
      <c r="D456">
        <v>0.429941002949852</v>
      </c>
      <c r="E456">
        <v>0.188112745098039</v>
      </c>
      <c r="F456">
        <v>0.04867495943753301</v>
      </c>
      <c r="G456">
        <v>-0.48320895522388</v>
      </c>
      <c r="H456">
        <v>-0.592047128129602</v>
      </c>
      <c r="I456">
        <v>-0.484993359893758</v>
      </c>
    </row>
    <row r="457" spans="1:9">
      <c r="A457" s="1" t="s">
        <v>469</v>
      </c>
      <c r="B457">
        <f>HYPERLINK("https://www.suredividend.com/sure-analysis-research-database/","Digital Media Solutions Inc")</f>
        <v>0</v>
      </c>
      <c r="C457">
        <v>-0.123333333333333</v>
      </c>
      <c r="D457">
        <v>-0.335858585858585</v>
      </c>
      <c r="E457">
        <v>-0.025925925925926</v>
      </c>
      <c r="F457">
        <v>-0.01865671641791</v>
      </c>
      <c r="G457">
        <v>-0.7058165548098431</v>
      </c>
      <c r="H457">
        <v>-0.8871244635193131</v>
      </c>
      <c r="I457">
        <v>-0.8586811675192361</v>
      </c>
    </row>
    <row r="458" spans="1:9">
      <c r="A458" s="1" t="s">
        <v>470</v>
      </c>
      <c r="B458">
        <f>HYPERLINK("https://www.suredividend.com/sure-analysis-research-database/","DermTech Inc")</f>
        <v>0</v>
      </c>
      <c r="C458">
        <v>-0.013574660633484</v>
      </c>
      <c r="D458">
        <v>-0.3893557422969181</v>
      </c>
      <c r="E458">
        <v>-0.657770800627943</v>
      </c>
      <c r="F458">
        <v>0.231638418079096</v>
      </c>
      <c r="G458">
        <v>-0.8557246856386491</v>
      </c>
      <c r="H458">
        <v>-0.9369212962962961</v>
      </c>
      <c r="I458">
        <v>-0.7768679631525071</v>
      </c>
    </row>
    <row r="459" spans="1:9">
      <c r="A459" s="1" t="s">
        <v>471</v>
      </c>
      <c r="B459">
        <f>HYPERLINK("https://www.suredividend.com/sure-analysis-research-database/","Codex DNA Inc")</f>
        <v>0</v>
      </c>
      <c r="C459">
        <v>-0.05797101449275301</v>
      </c>
      <c r="D459">
        <v>-0.192546583850931</v>
      </c>
      <c r="E459">
        <v>-0.301075268817204</v>
      </c>
      <c r="F459">
        <v>0.08333333333333301</v>
      </c>
      <c r="G459">
        <v>-0.8659793814432991</v>
      </c>
      <c r="H459">
        <v>-0.9297297297297291</v>
      </c>
      <c r="I459">
        <v>-0.9297297297297291</v>
      </c>
    </row>
    <row r="460" spans="1:9">
      <c r="A460" s="1" t="s">
        <v>472</v>
      </c>
      <c r="B460">
        <f>HYPERLINK("https://www.suredividend.com/sure-analysis-research-database/","Denali Therapeutics Inc")</f>
        <v>0</v>
      </c>
      <c r="C460">
        <v>-0.018688293370945</v>
      </c>
      <c r="D460">
        <v>-0.094959349593495</v>
      </c>
      <c r="E460">
        <v>-0.183152333431171</v>
      </c>
      <c r="F460">
        <v>0.000719165767709</v>
      </c>
      <c r="G460">
        <v>-0.330365736284889</v>
      </c>
      <c r="H460">
        <v>-0.6522554042234161</v>
      </c>
      <c r="I460">
        <v>0.7954838709677411</v>
      </c>
    </row>
    <row r="461" spans="1:9">
      <c r="A461" s="1" t="s">
        <v>473</v>
      </c>
      <c r="B461">
        <f>HYPERLINK("https://www.suredividend.com/sure-analysis-research-database/","Danimer Scientific Inc")</f>
        <v>0</v>
      </c>
      <c r="C461">
        <v>-0.05418719211822601</v>
      </c>
      <c r="D461">
        <v>-0.264367816091954</v>
      </c>
      <c r="E461">
        <v>-0.623529411764705</v>
      </c>
      <c r="F461">
        <v>0.07262569832402201</v>
      </c>
      <c r="G461">
        <v>-0.7456953642384101</v>
      </c>
      <c r="H461">
        <v>-0.9254658385093161</v>
      </c>
      <c r="I461">
        <v>-0.801036269430051</v>
      </c>
    </row>
    <row r="462" spans="1:9">
      <c r="A462" s="1" t="s">
        <v>474</v>
      </c>
      <c r="B462">
        <f>HYPERLINK("https://www.suredividend.com/sure-analysis-research-database/","NOW Inc")</f>
        <v>0</v>
      </c>
      <c r="C462">
        <v>0.08368915456874401</v>
      </c>
      <c r="D462">
        <v>0.129003558718861</v>
      </c>
      <c r="E462">
        <v>0.234435797665369</v>
      </c>
      <c r="F462">
        <v>-0.0007874015748030001</v>
      </c>
      <c r="G462">
        <v>0.37486457204767</v>
      </c>
      <c r="H462">
        <v>0.562807881773399</v>
      </c>
      <c r="I462">
        <v>0.059265442404006</v>
      </c>
    </row>
    <row r="463" spans="1:9">
      <c r="A463" s="1" t="s">
        <v>475</v>
      </c>
      <c r="B463">
        <f>HYPERLINK("https://www.suredividend.com/sure-analysis-research-database/","Krispy Kreme Inc")</f>
        <v>0</v>
      </c>
      <c r="C463">
        <v>-0.231254379817799</v>
      </c>
      <c r="D463">
        <v>-0.140854446489407</v>
      </c>
      <c r="E463">
        <v>-0.219861182226773</v>
      </c>
      <c r="F463">
        <v>0.06298449612403101</v>
      </c>
      <c r="G463">
        <v>-0.3695945751803</v>
      </c>
      <c r="H463">
        <v>-0.47113159518667</v>
      </c>
      <c r="I463">
        <v>-0.47113159518667</v>
      </c>
    </row>
    <row r="464" spans="1:9">
      <c r="A464" s="1" t="s">
        <v>476</v>
      </c>
      <c r="B464">
        <f>HYPERLINK("https://www.suredividend.com/sure-analysis-DOC/","Physicians Realty Trust")</f>
        <v>0</v>
      </c>
      <c r="C464">
        <v>0.002686366689053</v>
      </c>
      <c r="D464">
        <v>0.07178750897343801</v>
      </c>
      <c r="E464">
        <v>-0.09210318280773001</v>
      </c>
      <c r="F464">
        <v>0.031789910158949</v>
      </c>
      <c r="G464">
        <v>-0.174878276584338</v>
      </c>
      <c r="H464">
        <v>-0.03513703897581</v>
      </c>
      <c r="I464">
        <v>0.137004036250095</v>
      </c>
    </row>
    <row r="465" spans="1:9">
      <c r="A465" s="1" t="s">
        <v>477</v>
      </c>
      <c r="B465">
        <f>HYPERLINK("https://www.suredividend.com/sure-analysis-research-database/","DigitalOcean Holdings Inc")</f>
        <v>0</v>
      </c>
      <c r="C465">
        <v>-0.140912185159972</v>
      </c>
      <c r="D465">
        <v>-0.316359696641386</v>
      </c>
      <c r="E465">
        <v>-0.454859611231101</v>
      </c>
      <c r="F465">
        <v>-0.009030231645072001</v>
      </c>
      <c r="G465">
        <v>-0.6431500070691361</v>
      </c>
      <c r="H465">
        <v>-0.406117647058823</v>
      </c>
      <c r="I465">
        <v>-0.406117647058823</v>
      </c>
    </row>
    <row r="466" spans="1:9">
      <c r="A466" s="1" t="s">
        <v>478</v>
      </c>
      <c r="B466">
        <f>HYPERLINK("https://www.suredividend.com/sure-analysis-research-database/","Domo Inc.")</f>
        <v>0</v>
      </c>
      <c r="C466">
        <v>-0.272209567198177</v>
      </c>
      <c r="D466">
        <v>-0.266781411359724</v>
      </c>
      <c r="E466">
        <v>-0.60285891858297</v>
      </c>
      <c r="F466">
        <v>-0.10252808988764</v>
      </c>
      <c r="G466">
        <v>-0.7122269759063271</v>
      </c>
      <c r="H466">
        <v>-0.794236032844952</v>
      </c>
      <c r="I466">
        <v>-0.5318681318681321</v>
      </c>
    </row>
    <row r="467" spans="1:9">
      <c r="A467" s="1" t="s">
        <v>479</v>
      </c>
      <c r="B467">
        <f>HYPERLINK("https://www.suredividend.com/sure-analysis-research-database/","Masonite International Corp")</f>
        <v>0</v>
      </c>
      <c r="C467">
        <v>0.180076107637945</v>
      </c>
      <c r="D467">
        <v>0.184583901773533</v>
      </c>
      <c r="E467">
        <v>0.07796399751707001</v>
      </c>
      <c r="F467">
        <v>0.07716164247611901</v>
      </c>
      <c r="G467">
        <v>-0.213781238681637</v>
      </c>
      <c r="H467">
        <v>-0.118298131600324</v>
      </c>
      <c r="I467">
        <v>0.183776414451261</v>
      </c>
    </row>
    <row r="468" spans="1:9">
      <c r="A468" s="1" t="s">
        <v>480</v>
      </c>
      <c r="B468">
        <f>HYPERLINK("https://www.suredividend.com/sure-analysis-research-database/","Dorman Products Inc")</f>
        <v>0</v>
      </c>
      <c r="C468">
        <v>-0.025898947855243</v>
      </c>
      <c r="D468">
        <v>-0.017607276119403</v>
      </c>
      <c r="E468">
        <v>-0.240512034616424</v>
      </c>
      <c r="F468">
        <v>0.04179547421788</v>
      </c>
      <c r="G468">
        <v>-0.220556943288</v>
      </c>
      <c r="H468">
        <v>-0.117431384873245</v>
      </c>
      <c r="I468">
        <v>0.220483847602491</v>
      </c>
    </row>
    <row r="469" spans="1:9">
      <c r="A469" s="1" t="s">
        <v>481</v>
      </c>
      <c r="B469">
        <f>HYPERLINK("https://www.suredividend.com/sure-analysis-research-database/","Douglas Elliman Inc")</f>
        <v>0</v>
      </c>
      <c r="C469">
        <v>0.078680203045685</v>
      </c>
      <c r="D469">
        <v>0.092123859694205</v>
      </c>
      <c r="E469">
        <v>-0.158465833712848</v>
      </c>
      <c r="F469">
        <v>0.044226044226044</v>
      </c>
      <c r="G469">
        <v>-0.557720125295286</v>
      </c>
      <c r="H469">
        <v>-0.615408978616739</v>
      </c>
      <c r="I469">
        <v>-0.615408978616739</v>
      </c>
    </row>
    <row r="470" spans="1:9">
      <c r="A470" s="1" t="s">
        <v>482</v>
      </c>
      <c r="B470">
        <f>HYPERLINK("https://www.suredividend.com/sure-analysis-research-database/","Diamondrock Hospitality Co.")</f>
        <v>0</v>
      </c>
      <c r="C470">
        <v>-0.114399293286219</v>
      </c>
      <c r="D470">
        <v>0.026809720123934</v>
      </c>
      <c r="E470">
        <v>-0.026309080092755</v>
      </c>
      <c r="F470">
        <v>-0.02075702075702</v>
      </c>
      <c r="G470">
        <v>-0.197454268902854</v>
      </c>
      <c r="H470">
        <v>-0.05698092796839301</v>
      </c>
      <c r="I470">
        <v>-0.216353012448457</v>
      </c>
    </row>
    <row r="471" spans="1:9">
      <c r="A471" s="1" t="s">
        <v>483</v>
      </c>
      <c r="B471">
        <f>HYPERLINK("https://www.suredividend.com/sure-analysis-research-database/","DarioHealth Corp")</f>
        <v>0</v>
      </c>
      <c r="C471">
        <v>0.10091743119266</v>
      </c>
      <c r="D471">
        <v>-0.069767441860465</v>
      </c>
      <c r="E471">
        <v>-0.288888888888888</v>
      </c>
      <c r="F471">
        <v>0.121495327102803</v>
      </c>
      <c r="G471">
        <v>-0.5767195767195761</v>
      </c>
      <c r="H471">
        <v>-0.711538461538461</v>
      </c>
      <c r="I471">
        <v>-0.8518518518518511</v>
      </c>
    </row>
    <row r="472" spans="1:9">
      <c r="A472" s="1" t="s">
        <v>484</v>
      </c>
      <c r="B472">
        <f>HYPERLINK("https://www.suredividend.com/sure-analysis-research-database/","Dril-Quip, Inc.")</f>
        <v>0</v>
      </c>
      <c r="C472">
        <v>0.302764976958525</v>
      </c>
      <c r="D472">
        <v>0.295006871278057</v>
      </c>
      <c r="E472">
        <v>0.1</v>
      </c>
      <c r="F472">
        <v>0.040485829959514</v>
      </c>
      <c r="G472">
        <v>0.245374449339207</v>
      </c>
      <c r="H472">
        <v>-0.153085680047933</v>
      </c>
      <c r="I472">
        <v>-0.473556797020484</v>
      </c>
    </row>
    <row r="473" spans="1:9">
      <c r="A473" s="1" t="s">
        <v>485</v>
      </c>
      <c r="B473">
        <f>HYPERLINK("https://www.suredividend.com/sure-analysis-research-database/","Durect Corp")</f>
        <v>0</v>
      </c>
      <c r="C473">
        <v>0.634615384615384</v>
      </c>
      <c r="D473">
        <v>0.155788655788655</v>
      </c>
      <c r="E473">
        <v>0.226298433635614</v>
      </c>
      <c r="F473">
        <v>0.719653179190751</v>
      </c>
      <c r="G473">
        <v>-0.29334916864608</v>
      </c>
      <c r="H473">
        <v>-0.715311004784688</v>
      </c>
      <c r="I473">
        <v>-0.449074074074074</v>
      </c>
    </row>
    <row r="474" spans="1:9">
      <c r="A474" s="1" t="s">
        <v>486</v>
      </c>
      <c r="B474">
        <f>HYPERLINK("https://www.suredividend.com/sure-analysis-research-database/","Drive Shack Inc")</f>
        <v>0</v>
      </c>
      <c r="C474">
        <v>-0.6578195181706811</v>
      </c>
      <c r="D474">
        <v>-0.7296774193548381</v>
      </c>
      <c r="E474">
        <v>-0.873030303030303</v>
      </c>
      <c r="F474">
        <v>0</v>
      </c>
      <c r="G474">
        <v>-0.8827972027972021</v>
      </c>
      <c r="H474">
        <v>-0.929579831932773</v>
      </c>
      <c r="I474">
        <v>-0.9708521739130431</v>
      </c>
    </row>
    <row r="475" spans="1:9">
      <c r="A475" s="1" t="s">
        <v>487</v>
      </c>
      <c r="B475">
        <f>HYPERLINK("https://www.suredividend.com/sure-analysis-research-database/","Design Therapeutics Inc")</f>
        <v>0</v>
      </c>
      <c r="C475">
        <v>0.150127226463104</v>
      </c>
      <c r="D475">
        <v>-0.423469387755102</v>
      </c>
      <c r="E475">
        <v>-0.469794721407624</v>
      </c>
      <c r="F475">
        <v>-0.118908382066276</v>
      </c>
      <c r="G475">
        <v>-0.496939343350027</v>
      </c>
      <c r="H475">
        <v>-0.7821161725717041</v>
      </c>
      <c r="I475">
        <v>-0.7821161725717041</v>
      </c>
    </row>
    <row r="476" spans="1:9">
      <c r="A476" s="1" t="s">
        <v>488</v>
      </c>
      <c r="B476">
        <f>HYPERLINK("https://www.suredividend.com/sure-analysis-research-database/","Daseke Inc")</f>
        <v>0</v>
      </c>
      <c r="C476">
        <v>0.024604569420035</v>
      </c>
      <c r="D476">
        <v>-0.011864406779661</v>
      </c>
      <c r="E476">
        <v>-0.09190031152647901</v>
      </c>
      <c r="F476">
        <v>0.024604569420035</v>
      </c>
      <c r="G476">
        <v>-0.4026639344262291</v>
      </c>
      <c r="H476">
        <v>0.01391304347826</v>
      </c>
      <c r="I476">
        <v>-0.5750728862973761</v>
      </c>
    </row>
    <row r="477" spans="1:9">
      <c r="A477" s="1" t="s">
        <v>489</v>
      </c>
      <c r="B477">
        <f>HYPERLINK("https://www.suredividend.com/sure-analysis-research-database/","Viant Technology Inc")</f>
        <v>0</v>
      </c>
      <c r="C477">
        <v>0.144542772861356</v>
      </c>
      <c r="D477">
        <v>-0.091334894613583</v>
      </c>
      <c r="E477">
        <v>-0.262357414448669</v>
      </c>
      <c r="F477">
        <v>-0.034825870646766</v>
      </c>
      <c r="G477">
        <v>-0.548837209302325</v>
      </c>
      <c r="H477">
        <v>-0.9186923721709971</v>
      </c>
      <c r="I477">
        <v>-0.9186923721709971</v>
      </c>
    </row>
    <row r="478" spans="1:9">
      <c r="A478" s="1" t="s">
        <v>490</v>
      </c>
      <c r="B478">
        <f>HYPERLINK("https://www.suredividend.com/sure-analysis-research-database/","Solo Brands Inc")</f>
        <v>0</v>
      </c>
      <c r="C478">
        <v>-0.049528301886792</v>
      </c>
      <c r="D478">
        <v>0.04947916666666601</v>
      </c>
      <c r="E478">
        <v>-0.156903765690376</v>
      </c>
      <c r="F478">
        <v>0.08333333333333301</v>
      </c>
      <c r="G478">
        <v>-0.727518593644354</v>
      </c>
      <c r="H478">
        <v>-0.771152754116978</v>
      </c>
      <c r="I478">
        <v>-0.771152754116978</v>
      </c>
    </row>
    <row r="479" spans="1:9">
      <c r="A479" s="1" t="s">
        <v>491</v>
      </c>
      <c r="B479">
        <f>HYPERLINK("https://www.suredividend.com/sure-analysis-research-database/","Precision Biosciences Inc")</f>
        <v>0</v>
      </c>
      <c r="C479">
        <v>0.050420168067226</v>
      </c>
      <c r="D479">
        <v>-0.107142857142857</v>
      </c>
      <c r="E479">
        <v>-0.281609195402298</v>
      </c>
      <c r="F479">
        <v>0.050420168067226</v>
      </c>
      <c r="G479">
        <v>-0.809451219512195</v>
      </c>
      <c r="H479">
        <v>-0.8688352570828961</v>
      </c>
      <c r="I479">
        <v>-0.9283256880733941</v>
      </c>
    </row>
    <row r="480" spans="1:9">
      <c r="A480" s="1" t="s">
        <v>492</v>
      </c>
      <c r="B480">
        <f>HYPERLINK("https://www.suredividend.com/sure-analysis-research-database/","Dynavax Technologies Corp.")</f>
        <v>0</v>
      </c>
      <c r="C480">
        <v>-0.087111111111111</v>
      </c>
      <c r="D480">
        <v>-0.049953746530989</v>
      </c>
      <c r="E480">
        <v>-0.307951482479784</v>
      </c>
      <c r="F480">
        <v>-0.034774436090225</v>
      </c>
      <c r="G480">
        <v>-0.240384615384615</v>
      </c>
      <c r="H480">
        <v>1.058116232464929</v>
      </c>
      <c r="I480">
        <v>-0.414814814814814</v>
      </c>
    </row>
    <row r="481" spans="1:9">
      <c r="A481" s="1" t="s">
        <v>493</v>
      </c>
      <c r="B481">
        <f>HYPERLINK("https://www.suredividend.com/sure-analysis-DX/","Dynex Capital, Inc.")</f>
        <v>0</v>
      </c>
      <c r="C481">
        <v>0.07016098608790701</v>
      </c>
      <c r="D481">
        <v>0.234578866496727</v>
      </c>
      <c r="E481">
        <v>-0.089932956212025</v>
      </c>
      <c r="F481">
        <v>0.09276729559748401</v>
      </c>
      <c r="G481">
        <v>-0.08632578073133301</v>
      </c>
      <c r="H481">
        <v>-0.048173383093094</v>
      </c>
      <c r="I481">
        <v>0.144061170234656</v>
      </c>
    </row>
    <row r="482" spans="1:9">
      <c r="A482" s="1" t="s">
        <v>494</v>
      </c>
      <c r="B482">
        <f>HYPERLINK("https://www.suredividend.com/sure-analysis-research-database/","DXP Enterprises, Inc.")</f>
        <v>0</v>
      </c>
      <c r="C482">
        <v>0.141382049245432</v>
      </c>
      <c r="D482">
        <v>0.150981177412895</v>
      </c>
      <c r="E482">
        <v>-0.048659384309831</v>
      </c>
      <c r="F482">
        <v>0.04319419237749501</v>
      </c>
      <c r="G482">
        <v>0.090288315629742</v>
      </c>
      <c r="H482">
        <v>0.123534010946051</v>
      </c>
      <c r="I482">
        <v>-0.054605263157894</v>
      </c>
    </row>
    <row r="483" spans="1:9">
      <c r="A483" s="1" t="s">
        <v>495</v>
      </c>
      <c r="B483">
        <f>HYPERLINK("https://www.suredividend.com/sure-analysis-research-database/","Dycom Industries, Inc.")</f>
        <v>0</v>
      </c>
      <c r="C483">
        <v>0.08142840896167301</v>
      </c>
      <c r="D483">
        <v>-0.041624672445071</v>
      </c>
      <c r="E483">
        <v>-0.005334728033472001</v>
      </c>
      <c r="F483">
        <v>0.015918803418803</v>
      </c>
      <c r="G483">
        <v>0.05926255987523601</v>
      </c>
      <c r="H483">
        <v>0.117916764636726</v>
      </c>
      <c r="I483">
        <v>-0.160279053338043</v>
      </c>
    </row>
    <row r="484" spans="1:9">
      <c r="A484" s="1" t="s">
        <v>496</v>
      </c>
      <c r="B484">
        <f>HYPERLINK("https://www.suredividend.com/sure-analysis-research-database/","Dyne Therapeutics Inc")</f>
        <v>0</v>
      </c>
      <c r="C484">
        <v>0.06809701492537301</v>
      </c>
      <c r="D484">
        <v>-0.099842767295597</v>
      </c>
      <c r="E484">
        <v>0.26940133037694</v>
      </c>
      <c r="F484">
        <v>-0.012079378774805</v>
      </c>
      <c r="G484">
        <v>0.05238970588235201</v>
      </c>
      <c r="H484">
        <v>-0.577957980095834</v>
      </c>
      <c r="I484">
        <v>-0.52092050209205</v>
      </c>
    </row>
    <row r="485" spans="1:9">
      <c r="A485" s="1" t="s">
        <v>497</v>
      </c>
      <c r="B485">
        <f>HYPERLINK("https://www.suredividend.com/sure-analysis-research-database/","DZS Inc")</f>
        <v>0</v>
      </c>
      <c r="C485">
        <v>0.162831858407079</v>
      </c>
      <c r="D485">
        <v>0.094999999999999</v>
      </c>
      <c r="E485">
        <v>-0.191384615384615</v>
      </c>
      <c r="F485">
        <v>0.036277602523659</v>
      </c>
      <c r="G485">
        <v>-0.166772352568167</v>
      </c>
      <c r="H485">
        <v>-0.193370165745856</v>
      </c>
      <c r="I485">
        <v>0.432933478735005</v>
      </c>
    </row>
    <row r="486" spans="1:9">
      <c r="A486" s="1" t="s">
        <v>498</v>
      </c>
      <c r="B486">
        <f>HYPERLINK("https://www.suredividend.com/sure-analysis-EAF/","GrafTech International Ltd.")</f>
        <v>0</v>
      </c>
      <c r="C486">
        <v>0.059171597633135</v>
      </c>
      <c r="D486">
        <v>0.271999431508633</v>
      </c>
      <c r="E486">
        <v>-0.230118564608392</v>
      </c>
      <c r="F486">
        <v>0.128151260504201</v>
      </c>
      <c r="G486">
        <v>-0.54267513753811</v>
      </c>
      <c r="H486">
        <v>-0.535282205722</v>
      </c>
      <c r="I486">
        <v>-0.604215801886792</v>
      </c>
    </row>
    <row r="487" spans="1:9">
      <c r="A487" s="1" t="s">
        <v>499</v>
      </c>
      <c r="B487">
        <f>HYPERLINK("https://www.suredividend.com/sure-analysis-research-database/","Eargo Inc")</f>
        <v>0</v>
      </c>
      <c r="C487">
        <v>-0.05885876890819201</v>
      </c>
      <c r="D487">
        <v>-0.1285535986687</v>
      </c>
      <c r="E487">
        <v>-0.298269123394751</v>
      </c>
      <c r="F487">
        <v>0.09286956521739101</v>
      </c>
      <c r="G487">
        <v>-0.901350078492935</v>
      </c>
      <c r="H487">
        <v>-0.9874042894367601</v>
      </c>
      <c r="I487">
        <v>-0.9813420427553441</v>
      </c>
    </row>
    <row r="488" spans="1:9">
      <c r="A488" s="1" t="s">
        <v>500</v>
      </c>
      <c r="B488">
        <f>HYPERLINK("https://www.suredividend.com/sure-analysis-research-database/","Brinker International, Inc.")</f>
        <v>0</v>
      </c>
      <c r="C488">
        <v>0.03886524822695001</v>
      </c>
      <c r="D488">
        <v>0.440031458906802</v>
      </c>
      <c r="E488">
        <v>0.608256477821695</v>
      </c>
      <c r="F488">
        <v>0.147602632403635</v>
      </c>
      <c r="G488">
        <v>-0.02916224814422</v>
      </c>
      <c r="H488">
        <v>-0.401144726083401</v>
      </c>
      <c r="I488">
        <v>0.073299119847827</v>
      </c>
    </row>
    <row r="489" spans="1:9">
      <c r="A489" s="1" t="s">
        <v>501</v>
      </c>
      <c r="B489">
        <f>HYPERLINK("https://www.suredividend.com/sure-analysis-research-database/","Eventbrite Inc")</f>
        <v>0</v>
      </c>
      <c r="C489">
        <v>-0.09133126934984501</v>
      </c>
      <c r="D489">
        <v>-0.050161812297734</v>
      </c>
      <c r="E489">
        <v>-0.442015209125475</v>
      </c>
      <c r="F489">
        <v>0.001706484641638</v>
      </c>
      <c r="G489">
        <v>-0.6526627218934911</v>
      </c>
      <c r="H489">
        <v>-0.692670157068062</v>
      </c>
      <c r="I489">
        <v>-0.83917808219178</v>
      </c>
    </row>
    <row r="490" spans="1:9">
      <c r="A490" s="1" t="s">
        <v>502</v>
      </c>
      <c r="B490">
        <f>HYPERLINK("https://www.suredividend.com/sure-analysis-research-database/","Eastern Bankshares Inc.")</f>
        <v>0</v>
      </c>
      <c r="C490">
        <v>-0.04761904761904701</v>
      </c>
      <c r="D490">
        <v>-0.121199562597055</v>
      </c>
      <c r="E490">
        <v>-0.07337696183471301</v>
      </c>
      <c r="F490">
        <v>0.020289855072463</v>
      </c>
      <c r="G490">
        <v>-0.169278405014537</v>
      </c>
      <c r="H490">
        <v>0.102473675308974</v>
      </c>
      <c r="I490">
        <v>0.5008228943710611</v>
      </c>
    </row>
    <row r="491" spans="1:9">
      <c r="A491" s="1" t="s">
        <v>503</v>
      </c>
      <c r="B491">
        <f>HYPERLINK("https://www.suredividend.com/sure-analysis-research-database/","EBET Inc")</f>
        <v>0</v>
      </c>
      <c r="C491">
        <v>-0.148598130841121</v>
      </c>
      <c r="D491">
        <v>-0.4588118811881181</v>
      </c>
      <c r="E491">
        <v>-0.7830952380952381</v>
      </c>
      <c r="F491">
        <v>-0.132656299587432</v>
      </c>
      <c r="G491">
        <v>-0.9683130434782601</v>
      </c>
      <c r="H491">
        <v>-0.9849917627677099</v>
      </c>
      <c r="I491">
        <v>-0.9849917627677099</v>
      </c>
    </row>
    <row r="492" spans="1:9">
      <c r="A492" s="1" t="s">
        <v>504</v>
      </c>
      <c r="B492">
        <f>HYPERLINK("https://www.suredividend.com/sure-analysis-research-database/","Ennis Inc.")</f>
        <v>0</v>
      </c>
      <c r="C492">
        <v>-0.04774872513407501</v>
      </c>
      <c r="D492">
        <v>0.103212444724883</v>
      </c>
      <c r="E492">
        <v>0.113782545260259</v>
      </c>
      <c r="F492">
        <v>-0.010795470100289</v>
      </c>
      <c r="G492">
        <v>0.176847373535047</v>
      </c>
      <c r="H492">
        <v>0.303182217092845</v>
      </c>
      <c r="I492">
        <v>0.3116817114784241</v>
      </c>
    </row>
    <row r="493" spans="1:9">
      <c r="A493" s="1" t="s">
        <v>505</v>
      </c>
      <c r="B493">
        <f>HYPERLINK("https://www.suredividend.com/sure-analysis-research-database/","Ebix Inc.")</f>
        <v>0</v>
      </c>
      <c r="C493">
        <v>-0.09989909182643701</v>
      </c>
      <c r="D493">
        <v>-0.036092500540306</v>
      </c>
      <c r="E493">
        <v>-0.03901574527453201</v>
      </c>
      <c r="F493">
        <v>-0.106212424849699</v>
      </c>
      <c r="G493">
        <v>-0.403314547552552</v>
      </c>
      <c r="H493">
        <v>-0.533536234612448</v>
      </c>
      <c r="I493">
        <v>-0.7706215590019461</v>
      </c>
    </row>
    <row r="494" spans="1:9">
      <c r="A494" s="1" t="s">
        <v>506</v>
      </c>
      <c r="B494">
        <f>HYPERLINK("https://www.suredividend.com/sure-analysis-research-database/","Emergent Biosolutions Inc")</f>
        <v>0</v>
      </c>
      <c r="C494">
        <v>0.08505367464905</v>
      </c>
      <c r="D494">
        <v>-0.326499231163505</v>
      </c>
      <c r="E494">
        <v>-0.609973285841495</v>
      </c>
      <c r="F494">
        <v>0.112616426756985</v>
      </c>
      <c r="G494">
        <v>-0.730627306273062</v>
      </c>
      <c r="H494">
        <v>-0.864856525763653</v>
      </c>
      <c r="I494">
        <v>-0.7230769230769231</v>
      </c>
    </row>
    <row r="495" spans="1:9">
      <c r="A495" s="1" t="s">
        <v>507</v>
      </c>
      <c r="B495">
        <f>HYPERLINK("https://www.suredividend.com/sure-analysis-EBTC/","Enterprise Bancorp, Inc.")</f>
        <v>0</v>
      </c>
      <c r="C495">
        <v>0.010774028919761</v>
      </c>
      <c r="D495">
        <v>0.22140909153202</v>
      </c>
      <c r="E495">
        <v>0.121718226898582</v>
      </c>
      <c r="F495">
        <v>0.009915014164306001</v>
      </c>
      <c r="G495">
        <v>-0.185036679064472</v>
      </c>
      <c r="H495">
        <v>0.3926923692959181</v>
      </c>
      <c r="I495">
        <v>0.174675769717418</v>
      </c>
    </row>
    <row r="496" spans="1:9">
      <c r="A496" s="1" t="s">
        <v>508</v>
      </c>
      <c r="B496">
        <f>HYPERLINK("https://www.suredividend.com/sure-analysis-research-database/","US Ecology Inc.")</f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>
      <c r="A497" s="1" t="s">
        <v>509</v>
      </c>
      <c r="B497">
        <f>HYPERLINK("https://www.suredividend.com/sure-analysis-research-database/","ChannelAdvisor Corp")</f>
        <v>0</v>
      </c>
      <c r="C497">
        <v>0.010061242344706</v>
      </c>
      <c r="D497">
        <v>0.476342710997442</v>
      </c>
      <c r="E497">
        <v>0.8024980483996871</v>
      </c>
      <c r="F497">
        <v>-0.06442463533225201</v>
      </c>
      <c r="G497">
        <v>-0.140037243947858</v>
      </c>
      <c r="H497">
        <v>0.669558929862617</v>
      </c>
      <c r="I497">
        <v>1.748809523809523</v>
      </c>
    </row>
    <row r="498" spans="1:9">
      <c r="A498" s="1" t="s">
        <v>510</v>
      </c>
      <c r="B498">
        <f>HYPERLINK("https://www.suredividend.com/sure-analysis-research-database/","Encore Capital Group, Inc.")</f>
        <v>0</v>
      </c>
      <c r="C498">
        <v>0.03532277710109601</v>
      </c>
      <c r="D498">
        <v>0.107732406602953</v>
      </c>
      <c r="E498">
        <v>-0.150707743547044</v>
      </c>
      <c r="F498">
        <v>0.06382978723404201</v>
      </c>
      <c r="G498">
        <v>-0.149007175037543</v>
      </c>
      <c r="H498">
        <v>0.516277686933254</v>
      </c>
      <c r="I498">
        <v>0.172413793103448</v>
      </c>
    </row>
    <row r="499" spans="1:9">
      <c r="A499" s="1" t="s">
        <v>511</v>
      </c>
      <c r="B499">
        <f>HYPERLINK("https://www.suredividend.com/sure-analysis-research-database/","Ecovyst Inc")</f>
        <v>0</v>
      </c>
      <c r="C499">
        <v>0.05889014722536801</v>
      </c>
      <c r="D499">
        <v>0.082175925925925</v>
      </c>
      <c r="E499">
        <v>-0.03905447070914701</v>
      </c>
      <c r="F499">
        <v>0.05530474040632</v>
      </c>
      <c r="G499">
        <v>-0.07517309594460901</v>
      </c>
      <c r="H499">
        <v>-0.319519952257228</v>
      </c>
      <c r="I499">
        <v>-0.324177809902421</v>
      </c>
    </row>
    <row r="500" spans="1:9">
      <c r="A500" s="1" t="s">
        <v>512</v>
      </c>
      <c r="B500">
        <f>HYPERLINK("https://www.suredividend.com/sure-analysis-research-database/","Editas Medicine Inc")</f>
        <v>0</v>
      </c>
      <c r="C500">
        <v>-0.13015873015873</v>
      </c>
      <c r="D500">
        <v>-0.314999999999999</v>
      </c>
      <c r="E500">
        <v>-0.452</v>
      </c>
      <c r="F500">
        <v>-0.073280721533258</v>
      </c>
      <c r="G500">
        <v>-0.6730310262529831</v>
      </c>
      <c r="H500">
        <v>-0.9092514903952301</v>
      </c>
      <c r="I500">
        <v>-0.73628488931665</v>
      </c>
    </row>
    <row r="501" spans="1:9">
      <c r="A501" s="1" t="s">
        <v>513</v>
      </c>
      <c r="B501">
        <f>HYPERLINK("https://www.suredividend.com/sure-analysis-research-database/","Emerald Holding Inc")</f>
        <v>0</v>
      </c>
      <c r="C501">
        <v>-0.07142857142857101</v>
      </c>
      <c r="D501">
        <v>0.114285714285714</v>
      </c>
      <c r="E501">
        <v>-0.064</v>
      </c>
      <c r="F501">
        <v>-0.008474576271186</v>
      </c>
      <c r="G501">
        <v>-0.05135135135135101</v>
      </c>
      <c r="H501">
        <v>-0.254777070063694</v>
      </c>
      <c r="I501">
        <v>-0.8130870982171381</v>
      </c>
    </row>
    <row r="502" spans="1:9">
      <c r="A502" s="1" t="s">
        <v>514</v>
      </c>
      <c r="B502">
        <f>HYPERLINK("https://www.suredividend.com/sure-analysis-EFC/","Ellington Financial Inc")</f>
        <v>0</v>
      </c>
      <c r="C502">
        <v>-0.034651252867741</v>
      </c>
      <c r="D502">
        <v>0.159617397840033</v>
      </c>
      <c r="E502">
        <v>-0.102200854848877</v>
      </c>
      <c r="F502">
        <v>0.047696038803557</v>
      </c>
      <c r="G502">
        <v>-0.158042448693211</v>
      </c>
      <c r="H502">
        <v>0.05892734581821701</v>
      </c>
      <c r="I502">
        <v>0.228564115689787</v>
      </c>
    </row>
    <row r="503" spans="1:9">
      <c r="A503" s="1" t="s">
        <v>515</v>
      </c>
      <c r="B503">
        <f>HYPERLINK("https://www.suredividend.com/sure-analysis-research-database/","Enterprise Financial Services Corp.")</f>
        <v>0</v>
      </c>
      <c r="C503">
        <v>0.016881753931423</v>
      </c>
      <c r="D503">
        <v>0.115385393644933</v>
      </c>
      <c r="E503">
        <v>0.206797571322928</v>
      </c>
      <c r="F503">
        <v>0.013276143790849</v>
      </c>
      <c r="G503">
        <v>0.019491795361836</v>
      </c>
      <c r="H503">
        <v>0.388026210500987</v>
      </c>
      <c r="I503">
        <v>0.178813202897965</v>
      </c>
    </row>
    <row r="504" spans="1:9">
      <c r="A504" s="1" t="s">
        <v>516</v>
      </c>
      <c r="B504">
        <f>HYPERLINK("https://www.suredividend.com/sure-analysis-research-database/","eGain Corp")</f>
        <v>0</v>
      </c>
      <c r="C504">
        <v>0.142857142857142</v>
      </c>
      <c r="D504">
        <v>0.311653116531165</v>
      </c>
      <c r="E504">
        <v>-0.050980392156862</v>
      </c>
      <c r="F504">
        <v>0.071982281284606</v>
      </c>
      <c r="G504">
        <v>-0.03006012024048</v>
      </c>
      <c r="H504">
        <v>-0.21268808458723</v>
      </c>
      <c r="I504">
        <v>0.8796116504854361</v>
      </c>
    </row>
    <row r="505" spans="1:9">
      <c r="A505" s="1" t="s">
        <v>517</v>
      </c>
      <c r="B505">
        <f>HYPERLINK("https://www.suredividend.com/sure-analysis-research-database/","Eagle Bancorp Inc (MD)")</f>
        <v>0</v>
      </c>
      <c r="C505">
        <v>-0.002952639131086</v>
      </c>
      <c r="D505">
        <v>0.015957883595952</v>
      </c>
      <c r="E505">
        <v>-0.03836811890209</v>
      </c>
      <c r="F505">
        <v>0.021030383333409</v>
      </c>
      <c r="G505">
        <v>-0.26379435167952</v>
      </c>
      <c r="H505">
        <v>0.072327967680892</v>
      </c>
      <c r="I505">
        <v>-0.17712807722507</v>
      </c>
    </row>
    <row r="506" spans="1:9">
      <c r="A506" s="1" t="s">
        <v>518</v>
      </c>
      <c r="B506">
        <f>HYPERLINK("https://www.suredividend.com/sure-analysis-research-database/","8X8 Inc.")</f>
        <v>0</v>
      </c>
      <c r="C506">
        <v>0.022222222222222</v>
      </c>
      <c r="D506">
        <v>0.398176291793312</v>
      </c>
      <c r="E506">
        <v>-0.169675090252707</v>
      </c>
      <c r="F506">
        <v>0.06481481481481401</v>
      </c>
      <c r="G506">
        <v>-0.7232250300842351</v>
      </c>
      <c r="H506">
        <v>-0.869762174405436</v>
      </c>
      <c r="I506">
        <v>-0.683848797250859</v>
      </c>
    </row>
    <row r="507" spans="1:9">
      <c r="A507" s="1" t="s">
        <v>519</v>
      </c>
      <c r="B507">
        <f>HYPERLINK("https://www.suredividend.com/sure-analysis-research-database/","Eagle Bulk Shipping Inc")</f>
        <v>0</v>
      </c>
      <c r="C507">
        <v>-0.015181388012618</v>
      </c>
      <c r="D507">
        <v>0.04018942068009</v>
      </c>
      <c r="E507">
        <v>0.20120336769809</v>
      </c>
      <c r="F507">
        <v>0.000200240288346</v>
      </c>
      <c r="G507">
        <v>0.266789076448628</v>
      </c>
      <c r="H507">
        <v>1.86973307747992</v>
      </c>
      <c r="I507">
        <v>0.7669594501377841</v>
      </c>
    </row>
    <row r="508" spans="1:9">
      <c r="A508" s="1" t="s">
        <v>520</v>
      </c>
      <c r="B508">
        <f>HYPERLINK("https://www.suredividend.com/sure-analysis-EGP/","Eastgroup Properties, Inc.")</f>
        <v>0</v>
      </c>
      <c r="C508">
        <v>-0.024033286398675</v>
      </c>
      <c r="D508">
        <v>0.09153456574796501</v>
      </c>
      <c r="E508">
        <v>-0.024025004177807</v>
      </c>
      <c r="F508">
        <v>0.009793327029582001</v>
      </c>
      <c r="G508">
        <v>-0.269168858606097</v>
      </c>
      <c r="H508">
        <v>0.153910569036668</v>
      </c>
      <c r="I508">
        <v>0.998241130808545</v>
      </c>
    </row>
    <row r="509" spans="1:9">
      <c r="A509" s="1" t="s">
        <v>521</v>
      </c>
      <c r="B509">
        <f>HYPERLINK("https://www.suredividend.com/sure-analysis-research-database/","Eagle Pharmaceuticals Inc")</f>
        <v>0</v>
      </c>
      <c r="C509">
        <v>-0.009664948453608001</v>
      </c>
      <c r="D509">
        <v>0.18003838771593</v>
      </c>
      <c r="E509">
        <v>-0.3310119695321</v>
      </c>
      <c r="F509">
        <v>0.05165925419089901</v>
      </c>
      <c r="G509">
        <v>-0.39285008888011</v>
      </c>
      <c r="H509">
        <v>-0.381364459649828</v>
      </c>
      <c r="I509">
        <v>-0.4775662814411961</v>
      </c>
    </row>
    <row r="510" spans="1:9">
      <c r="A510" s="1" t="s">
        <v>522</v>
      </c>
      <c r="B510">
        <f>HYPERLINK("https://www.suredividend.com/sure-analysis-research-database/","eHealth Inc")</f>
        <v>0</v>
      </c>
      <c r="C510">
        <v>0.475294117647058</v>
      </c>
      <c r="D510">
        <v>0.8828828828828821</v>
      </c>
      <c r="E510">
        <v>-0.280137772675086</v>
      </c>
      <c r="F510">
        <v>0.295454545454545</v>
      </c>
      <c r="G510">
        <v>-0.742293464858199</v>
      </c>
      <c r="H510">
        <v>-0.910428571428571</v>
      </c>
      <c r="I510">
        <v>-0.63376168224299</v>
      </c>
    </row>
    <row r="511" spans="1:9">
      <c r="A511" s="1" t="s">
        <v>523</v>
      </c>
      <c r="B511">
        <f>HYPERLINK("https://www.suredividend.com/sure-analysis-research-database/","Employers Holdings Inc")</f>
        <v>0</v>
      </c>
      <c r="C511">
        <v>-0.026505463845617</v>
      </c>
      <c r="D511">
        <v>0.318835695184218</v>
      </c>
      <c r="E511">
        <v>0.061305809172804</v>
      </c>
      <c r="F511">
        <v>-0.029214004173429</v>
      </c>
      <c r="G511">
        <v>0.05329358640554401</v>
      </c>
      <c r="H511">
        <v>0.35831305758313</v>
      </c>
      <c r="I511">
        <v>0.147205006384016</v>
      </c>
    </row>
    <row r="512" spans="1:9">
      <c r="A512" s="1" t="s">
        <v>524</v>
      </c>
      <c r="B512">
        <f>HYPERLINK("https://www.suredividend.com/sure-analysis-research-database/","Eiger BioPharmaceuticals Inc")</f>
        <v>0</v>
      </c>
      <c r="C512">
        <v>-0.078125</v>
      </c>
      <c r="D512">
        <v>-0.8132911392405061</v>
      </c>
      <c r="E512">
        <v>-0.8629500580720091</v>
      </c>
      <c r="F512">
        <v>0</v>
      </c>
      <c r="G512">
        <v>-0.7581967213114751</v>
      </c>
      <c r="H512">
        <v>-0.8989726027397261</v>
      </c>
      <c r="I512">
        <v>-0.9169014084507041</v>
      </c>
    </row>
    <row r="513" spans="1:9">
      <c r="A513" s="1" t="s">
        <v>525</v>
      </c>
      <c r="B513">
        <f>HYPERLINK("https://www.suredividend.com/sure-analysis-research-database/","e.l.f. Beauty Inc")</f>
        <v>0</v>
      </c>
      <c r="C513">
        <v>0.03604607952434</v>
      </c>
      <c r="D513">
        <v>0.457015939378102</v>
      </c>
      <c r="E513">
        <v>0.7645569620253161</v>
      </c>
      <c r="F513">
        <v>0.008318264014466</v>
      </c>
      <c r="G513">
        <v>0.7946572256195681</v>
      </c>
      <c r="H513">
        <v>1.382905982905982</v>
      </c>
      <c r="I513">
        <v>1.858021527421834</v>
      </c>
    </row>
    <row r="514" spans="1:9">
      <c r="A514" s="1" t="s">
        <v>526</v>
      </c>
      <c r="B514">
        <f>HYPERLINK("https://www.suredividend.com/sure-analysis-research-database/","Topgolf Callaway Brands Corp")</f>
        <v>0</v>
      </c>
      <c r="C514">
        <v>-0.065293602103418</v>
      </c>
      <c r="D514">
        <v>-0.04478280340349301</v>
      </c>
      <c r="E514">
        <v>-0.06937172774869101</v>
      </c>
      <c r="F514">
        <v>-0.222667638483965</v>
      </c>
      <c r="G514">
        <v>-0.233836206896551</v>
      </c>
      <c r="H514">
        <v>0.043542074363992</v>
      </c>
      <c r="I514">
        <v>0.548738428026865</v>
      </c>
    </row>
    <row r="515" spans="1:9">
      <c r="A515" s="1" t="s">
        <v>527</v>
      </c>
      <c r="B515">
        <f>HYPERLINK("https://www.suredividend.com/sure-analysis-research-database/","Eliem Therapeutics Inc")</f>
        <v>0</v>
      </c>
      <c r="C515">
        <v>0.628458498023715</v>
      </c>
      <c r="D515">
        <v>0.29968454258675</v>
      </c>
      <c r="E515">
        <v>0.110512129380053</v>
      </c>
      <c r="F515">
        <v>0.122615803814714</v>
      </c>
      <c r="G515">
        <v>-0.6271493212669681</v>
      </c>
      <c r="H515">
        <v>-0.740880503144654</v>
      </c>
      <c r="I515">
        <v>-0.740880503144654</v>
      </c>
    </row>
    <row r="516" spans="1:9">
      <c r="A516" s="1" t="s">
        <v>528</v>
      </c>
      <c r="B516">
        <f>HYPERLINK("https://www.suredividend.com/sure-analysis-research-database/","Emcor Group, Inc.")</f>
        <v>0</v>
      </c>
      <c r="C516">
        <v>-0.023694130317716</v>
      </c>
      <c r="D516">
        <v>0.207337589203884</v>
      </c>
      <c r="E516">
        <v>0.41639103486193</v>
      </c>
      <c r="F516">
        <v>-0.020727837418135</v>
      </c>
      <c r="G516">
        <v>0.160474110961935</v>
      </c>
      <c r="H516">
        <v>0.478113143324185</v>
      </c>
      <c r="I516">
        <v>0.7993742385783651</v>
      </c>
    </row>
    <row r="517" spans="1:9">
      <c r="A517" s="1" t="s">
        <v>529</v>
      </c>
      <c r="B517">
        <f>HYPERLINK("https://www.suredividend.com/sure-analysis-research-database/","Emcore Corp.")</f>
        <v>0</v>
      </c>
      <c r="C517">
        <v>-0.17037037037037</v>
      </c>
      <c r="D517">
        <v>-0.312883435582821</v>
      </c>
      <c r="E517">
        <v>-0.651090342679127</v>
      </c>
      <c r="F517">
        <v>0.163636363636363</v>
      </c>
      <c r="G517">
        <v>-0.8276923076923071</v>
      </c>
      <c r="H517">
        <v>-0.8021201413427561</v>
      </c>
      <c r="I517">
        <v>-0.8364963503649631</v>
      </c>
    </row>
    <row r="518" spans="1:9">
      <c r="A518" s="1" t="s">
        <v>530</v>
      </c>
      <c r="B518">
        <f>HYPERLINK("https://www.suredividend.com/sure-analysis-research-database/","Endo International plc")</f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>
      <c r="A519" s="1" t="s">
        <v>531</v>
      </c>
      <c r="B519">
        <f>HYPERLINK("https://www.suredividend.com/sure-analysis-research-database/","Enfusion Inc")</f>
        <v>0</v>
      </c>
      <c r="C519">
        <v>0.158458244111349</v>
      </c>
      <c r="D519">
        <v>-0.008249312557286</v>
      </c>
      <c r="E519">
        <v>-0.037366548042704</v>
      </c>
      <c r="F519">
        <v>0.118924508790072</v>
      </c>
      <c r="G519">
        <v>-0.42139037433155</v>
      </c>
      <c r="H519">
        <v>-0.453811206461383</v>
      </c>
      <c r="I519">
        <v>-0.453811206461383</v>
      </c>
    </row>
    <row r="520" spans="1:9">
      <c r="A520" s="1" t="s">
        <v>532</v>
      </c>
      <c r="B520">
        <f>HYPERLINK("https://www.suredividend.com/sure-analysis-research-database/","Energizer Holdings Inc")</f>
        <v>0</v>
      </c>
      <c r="C520">
        <v>0.06832116788321101</v>
      </c>
      <c r="D520">
        <v>0.430414386239249</v>
      </c>
      <c r="E520">
        <v>0.296170999635131</v>
      </c>
      <c r="F520">
        <v>0.090611028315946</v>
      </c>
      <c r="G520">
        <v>-0.077656809685737</v>
      </c>
      <c r="H520">
        <v>-0.157289138035071</v>
      </c>
      <c r="I520">
        <v>-0.195491763629807</v>
      </c>
    </row>
    <row r="521" spans="1:9">
      <c r="A521" s="1" t="s">
        <v>533</v>
      </c>
      <c r="B521">
        <f>HYPERLINK("https://www.suredividend.com/sure-analysis-research-database/","Enersys")</f>
        <v>0</v>
      </c>
      <c r="C521">
        <v>0.010456618517421</v>
      </c>
      <c r="D521">
        <v>0.266891751212175</v>
      </c>
      <c r="E521">
        <v>0.280398091691721</v>
      </c>
      <c r="F521">
        <v>0.030065005417118</v>
      </c>
      <c r="G521">
        <v>-0.025416562024304</v>
      </c>
      <c r="H521">
        <v>-0.131676676853806</v>
      </c>
      <c r="I521">
        <v>0.142407406572973</v>
      </c>
    </row>
    <row r="522" spans="1:9">
      <c r="A522" s="1" t="s">
        <v>534</v>
      </c>
      <c r="B522">
        <f>HYPERLINK("https://www.suredividend.com/sure-analysis-research-database/","Ensign Group Inc")</f>
        <v>0</v>
      </c>
      <c r="C522">
        <v>0.04212892050904</v>
      </c>
      <c r="D522">
        <v>0.147858317606477</v>
      </c>
      <c r="E522">
        <v>0.262491178969863</v>
      </c>
      <c r="F522">
        <v>0.000317091216573</v>
      </c>
      <c r="G522">
        <v>0.181863933294121</v>
      </c>
      <c r="H522">
        <v>0.133445751734181</v>
      </c>
      <c r="I522">
        <v>3.448852765725406</v>
      </c>
    </row>
    <row r="523" spans="1:9">
      <c r="A523" s="1" t="s">
        <v>535</v>
      </c>
      <c r="B523">
        <f>HYPERLINK("https://www.suredividend.com/sure-analysis-research-database/","Enanta Pharmaceuticals Inc")</f>
        <v>0</v>
      </c>
      <c r="C523">
        <v>0.131654676258992</v>
      </c>
      <c r="D523">
        <v>-0.0231836058787</v>
      </c>
      <c r="E523">
        <v>-0.10557240333586</v>
      </c>
      <c r="F523">
        <v>0.014402407566637</v>
      </c>
      <c r="G523">
        <v>-0.3138993893573711</v>
      </c>
      <c r="H523">
        <v>0.03464152598114401</v>
      </c>
      <c r="I523">
        <v>-0.198267074413863</v>
      </c>
    </row>
    <row r="524" spans="1:9">
      <c r="A524" s="1" t="s">
        <v>536</v>
      </c>
      <c r="B524">
        <f>HYPERLINK("https://www.suredividend.com/sure-analysis-research-database/","Envestnet Inc.")</f>
        <v>0</v>
      </c>
      <c r="C524">
        <v>0.03611111111111</v>
      </c>
      <c r="D524">
        <v>0.431053938162942</v>
      </c>
      <c r="E524">
        <v>0.211964831804281</v>
      </c>
      <c r="F524">
        <v>0.02771474878444</v>
      </c>
      <c r="G524">
        <v>-0.185798664612223</v>
      </c>
      <c r="H524">
        <v>-0.25940200887643</v>
      </c>
      <c r="I524">
        <v>0.217082533589251</v>
      </c>
    </row>
    <row r="525" spans="1:9">
      <c r="A525" s="1" t="s">
        <v>537</v>
      </c>
      <c r="B525">
        <f>HYPERLINK("https://www.suredividend.com/sure-analysis-research-database/","Enova International Inc.")</f>
        <v>0</v>
      </c>
      <c r="C525">
        <v>-0.01179789689664</v>
      </c>
      <c r="D525">
        <v>0.275405494869248</v>
      </c>
      <c r="E525">
        <v>0.298618132794068</v>
      </c>
      <c r="F525">
        <v>0.004169924420119001</v>
      </c>
      <c r="G525">
        <v>-0.06819830713422001</v>
      </c>
      <c r="H525">
        <v>0.518722901064249</v>
      </c>
      <c r="I525">
        <v>1.371076923076923</v>
      </c>
    </row>
    <row r="526" spans="1:9">
      <c r="A526" s="1" t="s">
        <v>538</v>
      </c>
      <c r="B526">
        <f>HYPERLINK("https://www.suredividend.com/sure-analysis-research-database/","Evolus Inc")</f>
        <v>0</v>
      </c>
      <c r="C526">
        <v>0.044678055190538</v>
      </c>
      <c r="D526">
        <v>-0.070175438596491</v>
      </c>
      <c r="E526">
        <v>-0.403153153153153</v>
      </c>
      <c r="F526">
        <v>0.05858854860186401</v>
      </c>
      <c r="G526">
        <v>0.282258064516129</v>
      </c>
      <c r="H526">
        <v>0.875</v>
      </c>
      <c r="I526">
        <v>-0.308695652173913</v>
      </c>
    </row>
    <row r="527" spans="1:9">
      <c r="A527" s="1" t="s">
        <v>539</v>
      </c>
      <c r="B527">
        <f>HYPERLINK("https://www.suredividend.com/sure-analysis-research-database/","Eos Energy Enterprises Inc")</f>
        <v>0</v>
      </c>
      <c r="C527">
        <v>0.378640776699028</v>
      </c>
      <c r="D527">
        <v>-0.149700598802395</v>
      </c>
      <c r="E527">
        <v>-0.202247191011236</v>
      </c>
      <c r="F527">
        <v>-0.04054054054054</v>
      </c>
      <c r="G527">
        <v>-0.7818740399385561</v>
      </c>
      <c r="H527">
        <v>-0.950745750953867</v>
      </c>
      <c r="I527">
        <v>-0.85360824742268</v>
      </c>
    </row>
    <row r="528" spans="1:9">
      <c r="A528" s="1" t="s">
        <v>540</v>
      </c>
      <c r="B528">
        <f>HYPERLINK("https://www.suredividend.com/sure-analysis-research-database/","Enerpac Tool Group Corp")</f>
        <v>0</v>
      </c>
      <c r="C528">
        <v>0.08006887645286201</v>
      </c>
      <c r="D528">
        <v>0.24516129032258</v>
      </c>
      <c r="E528">
        <v>0.311346887576438</v>
      </c>
      <c r="F528">
        <v>-0.014145383104125</v>
      </c>
      <c r="G528">
        <v>0.232881424226193</v>
      </c>
      <c r="H528">
        <v>0.05288336452676901</v>
      </c>
      <c r="I528">
        <v>-0.009169819367985001</v>
      </c>
    </row>
    <row r="529" spans="1:9">
      <c r="A529" s="1" t="s">
        <v>541</v>
      </c>
      <c r="B529">
        <f>HYPERLINK("https://www.suredividend.com/sure-analysis-research-database/","Bottomline Technologies (Delaware) Inc")</f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>
      <c r="A530" s="1" t="s">
        <v>542</v>
      </c>
      <c r="B530">
        <f>HYPERLINK("https://www.suredividend.com/sure-analysis-research-database/","Edgewell Personal Care Co")</f>
        <v>0</v>
      </c>
      <c r="C530">
        <v>-0.020848663232769</v>
      </c>
      <c r="D530">
        <v>0.035253600825713</v>
      </c>
      <c r="E530">
        <v>0.12375681587222</v>
      </c>
      <c r="F530">
        <v>0.035806953814219</v>
      </c>
      <c r="G530">
        <v>-0.169955378863803</v>
      </c>
      <c r="H530">
        <v>0.188165962259658</v>
      </c>
      <c r="I530">
        <v>-0.315966326077755</v>
      </c>
    </row>
    <row r="531" spans="1:9">
      <c r="A531" s="1" t="s">
        <v>543</v>
      </c>
      <c r="B531">
        <f>HYPERLINK("https://www.suredividend.com/sure-analysis-EPRT/","Essential Properties Realty Trust Inc")</f>
        <v>0</v>
      </c>
      <c r="C531">
        <v>0.016857744298115</v>
      </c>
      <c r="D531">
        <v>0.23048745829079</v>
      </c>
      <c r="E531">
        <v>0.09348399528557701</v>
      </c>
      <c r="F531">
        <v>-0.003834682573498</v>
      </c>
      <c r="G531">
        <v>-0.133345442279249</v>
      </c>
      <c r="H531">
        <v>0.209106047598854</v>
      </c>
      <c r="I531">
        <v>1.120038809949129</v>
      </c>
    </row>
    <row r="532" spans="1:9">
      <c r="A532" s="1" t="s">
        <v>544</v>
      </c>
      <c r="B532">
        <f>HYPERLINK("https://www.suredividend.com/sure-analysis-research-database/","Epizyme Inc")</f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>
      <c r="A533" s="1" t="s">
        <v>545</v>
      </c>
      <c r="B533">
        <f>HYPERLINK("https://www.suredividend.com/sure-analysis-research-database/","Equity Bancshares Inc")</f>
        <v>0</v>
      </c>
      <c r="C533">
        <v>-0.098196392785571</v>
      </c>
      <c r="D533">
        <v>0.06719955079189401</v>
      </c>
      <c r="E533">
        <v>0.121341584038148</v>
      </c>
      <c r="F533">
        <v>-0.011019283746556</v>
      </c>
      <c r="G533">
        <v>-0.058314000256478</v>
      </c>
      <c r="H533">
        <v>0.417329051955572</v>
      </c>
      <c r="I533">
        <v>-0.07650357565467901</v>
      </c>
    </row>
    <row r="534" spans="1:9">
      <c r="A534" s="1" t="s">
        <v>546</v>
      </c>
      <c r="B534">
        <f>HYPERLINK("https://www.suredividend.com/sure-analysis-research-database/","Equity Commonwealth")</f>
        <v>0</v>
      </c>
      <c r="C534">
        <v>-0.04582210242587501</v>
      </c>
      <c r="D534">
        <v>0.034655532359081</v>
      </c>
      <c r="E534">
        <v>-0.05691972780830801</v>
      </c>
      <c r="F534">
        <v>-0.007609130957148001</v>
      </c>
      <c r="G534">
        <v>-0.032167351466199</v>
      </c>
      <c r="H534">
        <v>-0.05207106024206901</v>
      </c>
      <c r="I534">
        <v>0.186162396067187</v>
      </c>
    </row>
    <row r="535" spans="1:9">
      <c r="A535" s="1" t="s">
        <v>547</v>
      </c>
      <c r="B535">
        <f>HYPERLINK("https://www.suredividend.com/sure-analysis-research-database/","Erasca Inc")</f>
        <v>0</v>
      </c>
      <c r="C535">
        <v>-0.325704225352112</v>
      </c>
      <c r="D535">
        <v>-0.5145754119138151</v>
      </c>
      <c r="E535">
        <v>-0.428358208955223</v>
      </c>
      <c r="F535">
        <v>-0.11136890951276</v>
      </c>
      <c r="G535">
        <v>-0.702870442203258</v>
      </c>
      <c r="H535">
        <v>-0.7802639127940331</v>
      </c>
      <c r="I535">
        <v>-0.7802639127940331</v>
      </c>
    </row>
    <row r="536" spans="1:9">
      <c r="A536" s="1" t="s">
        <v>548</v>
      </c>
      <c r="B536">
        <f>HYPERLINK("https://www.suredividend.com/sure-analysis-research-database/","Energy Recovery Inc")</f>
        <v>0</v>
      </c>
      <c r="C536">
        <v>-0.05939226519337001</v>
      </c>
      <c r="D536">
        <v>-0.049767441860465</v>
      </c>
      <c r="E536">
        <v>0.022011005502751</v>
      </c>
      <c r="F536">
        <v>-0.002928257686676</v>
      </c>
      <c r="G536">
        <v>0.030257186081694</v>
      </c>
      <c r="H536">
        <v>0.3538767395626241</v>
      </c>
      <c r="I536">
        <v>1.337528604118992</v>
      </c>
    </row>
    <row r="537" spans="1:9">
      <c r="A537" s="1" t="s">
        <v>549</v>
      </c>
      <c r="B537">
        <f>HYPERLINK("https://www.suredividend.com/sure-analysis-research-database/","Escalade, Inc.")</f>
        <v>0</v>
      </c>
      <c r="C537">
        <v>0.168336673346693</v>
      </c>
      <c r="D537">
        <v>0.09975099977363601</v>
      </c>
      <c r="E537">
        <v>-0.07621613056567901</v>
      </c>
      <c r="F537">
        <v>0.145383104125736</v>
      </c>
      <c r="G537">
        <v>-0.249808591814806</v>
      </c>
      <c r="H537">
        <v>-0.4234658307086031</v>
      </c>
      <c r="I537">
        <v>0.09591616147375301</v>
      </c>
    </row>
    <row r="538" spans="1:9">
      <c r="A538" s="1" t="s">
        <v>550</v>
      </c>
      <c r="B538">
        <f>HYPERLINK("https://www.suredividend.com/sure-analysis-research-database/","Esco Technologies, Inc.")</f>
        <v>0</v>
      </c>
      <c r="C538">
        <v>-0.011133123134016</v>
      </c>
      <c r="D538">
        <v>0.171022093459722</v>
      </c>
      <c r="E538">
        <v>0.328220334663552</v>
      </c>
      <c r="F538">
        <v>0.013040321520246</v>
      </c>
      <c r="G538">
        <v>0.009576160328898001</v>
      </c>
      <c r="H538">
        <v>-0.188220957825971</v>
      </c>
      <c r="I538">
        <v>0.466110669843791</v>
      </c>
    </row>
    <row r="539" spans="1:9">
      <c r="A539" s="1" t="s">
        <v>551</v>
      </c>
      <c r="B539">
        <f>HYPERLINK("https://www.suredividend.com/sure-analysis-research-database/","Enstar Group Limited")</f>
        <v>0</v>
      </c>
      <c r="C539">
        <v>0.08430913348946101</v>
      </c>
      <c r="D539">
        <v>0.2879349841823931</v>
      </c>
      <c r="E539">
        <v>0.171686597528903</v>
      </c>
      <c r="F539">
        <v>0.022030817174515</v>
      </c>
      <c r="G539">
        <v>-0.09476710753306501</v>
      </c>
      <c r="H539">
        <v>0.109112259276655</v>
      </c>
      <c r="I539">
        <v>0.129538387945467</v>
      </c>
    </row>
    <row r="540" spans="1:9">
      <c r="A540" s="1" t="s">
        <v>552</v>
      </c>
      <c r="B540">
        <f>HYPERLINK("https://www.suredividend.com/sure-analysis-research-database/","Engagesmart Inc")</f>
        <v>0</v>
      </c>
      <c r="C540">
        <v>0.06768292682926801</v>
      </c>
      <c r="D540">
        <v>-0.192715537113877</v>
      </c>
      <c r="E540">
        <v>-0.010734463276836</v>
      </c>
      <c r="F540">
        <v>-0.005113636363636</v>
      </c>
      <c r="G540">
        <v>-0.172495274102079</v>
      </c>
      <c r="H540">
        <v>-0.4868112543962481</v>
      </c>
      <c r="I540">
        <v>-0.4868112543962481</v>
      </c>
    </row>
    <row r="541" spans="1:9">
      <c r="A541" s="1" t="s">
        <v>553</v>
      </c>
      <c r="B541">
        <f>HYPERLINK("https://www.suredividend.com/sure-analysis-research-database/","Essent Group Ltd")</f>
        <v>0</v>
      </c>
      <c r="C541">
        <v>0.014573396926337</v>
      </c>
      <c r="D541">
        <v>0.069621791344136</v>
      </c>
      <c r="E541">
        <v>-0.005720547489892001</v>
      </c>
      <c r="F541">
        <v>-0.015174897119341</v>
      </c>
      <c r="G541">
        <v>-0.184328194466042</v>
      </c>
      <c r="H541">
        <v>-0.174900067878422</v>
      </c>
      <c r="I541">
        <v>-0.117855760547026</v>
      </c>
    </row>
    <row r="542" spans="1:9">
      <c r="A542" s="1" t="s">
        <v>554</v>
      </c>
      <c r="B542">
        <f>HYPERLINK("https://www.suredividend.com/sure-analysis-research-database/","Esperion Therapeutics Inc.")</f>
        <v>0</v>
      </c>
      <c r="C542">
        <v>0.37328094302554</v>
      </c>
      <c r="D542">
        <v>-0.057951482479784</v>
      </c>
      <c r="E542">
        <v>0.047976011994003</v>
      </c>
      <c r="F542">
        <v>0.12199036918138</v>
      </c>
      <c r="G542">
        <v>0.6843373493975901</v>
      </c>
      <c r="H542">
        <v>-0.7748792270531401</v>
      </c>
      <c r="I542">
        <v>-0.89436300438265</v>
      </c>
    </row>
    <row r="543" spans="1:9">
      <c r="A543" s="1" t="s">
        <v>555</v>
      </c>
      <c r="B543">
        <f>HYPERLINK("https://www.suredividend.com/sure-analysis-ESRT/","Empire State Realty Trust Inc")</f>
        <v>0</v>
      </c>
      <c r="C543">
        <v>0.006587225223891001</v>
      </c>
      <c r="D543">
        <v>0.067923046721633</v>
      </c>
      <c r="E543">
        <v>-0.020271730517094</v>
      </c>
      <c r="F543">
        <v>0.008902077151335001</v>
      </c>
      <c r="G543">
        <v>-0.31860313642968</v>
      </c>
      <c r="H543">
        <v>-0.238197665299903</v>
      </c>
      <c r="I543">
        <v>-0.611255302363339</v>
      </c>
    </row>
    <row r="544" spans="1:9">
      <c r="A544" s="1" t="s">
        <v>556</v>
      </c>
      <c r="B544">
        <f>HYPERLINK("https://www.suredividend.com/sure-analysis-research-database/","Earthstone Energy Inc")</f>
        <v>0</v>
      </c>
      <c r="C544">
        <v>0.103000811030008</v>
      </c>
      <c r="D544">
        <v>-0.08170155300472601</v>
      </c>
      <c r="E544">
        <v>0.141897565071368</v>
      </c>
      <c r="F544">
        <v>-0.04427266338721</v>
      </c>
      <c r="G544">
        <v>0.034220532319391</v>
      </c>
      <c r="H544">
        <v>1.34887737478411</v>
      </c>
      <c r="I544">
        <v>0.223021582733812</v>
      </c>
    </row>
    <row r="545" spans="1:9">
      <c r="A545" s="1" t="s">
        <v>557</v>
      </c>
      <c r="B545">
        <f>HYPERLINK("https://www.suredividend.com/sure-analysis-ETD/","Ethan Allen Interiors, Inc.")</f>
        <v>0</v>
      </c>
      <c r="C545">
        <v>0.060905976398934</v>
      </c>
      <c r="D545">
        <v>0.271232826725537</v>
      </c>
      <c r="E545">
        <v>0.347170796314736</v>
      </c>
      <c r="F545">
        <v>0.054882664647993</v>
      </c>
      <c r="G545">
        <v>0.10658910881261</v>
      </c>
      <c r="H545">
        <v>0.357512347663442</v>
      </c>
      <c r="I545">
        <v>0.239272533238472</v>
      </c>
    </row>
    <row r="546" spans="1:9">
      <c r="A546" s="1" t="s">
        <v>558</v>
      </c>
      <c r="B546">
        <f>HYPERLINK("https://www.suredividend.com/sure-analysis-research-database/","89bio Inc")</f>
        <v>0</v>
      </c>
      <c r="C546">
        <v>0.237308146399055</v>
      </c>
      <c r="D546">
        <v>0.271844660194174</v>
      </c>
      <c r="E546">
        <v>1.935574229691877</v>
      </c>
      <c r="F546">
        <v>-0.176747839748625</v>
      </c>
      <c r="G546">
        <v>-0.19446579554189</v>
      </c>
      <c r="H546">
        <v>-0.521023765996343</v>
      </c>
      <c r="I546">
        <v>-0.4961538461538461</v>
      </c>
    </row>
    <row r="547" spans="1:9">
      <c r="A547" s="1" t="s">
        <v>559</v>
      </c>
      <c r="B547">
        <f>HYPERLINK("https://www.suredividend.com/sure-analysis-research-database/","Equitrans Midstream Corporation")</f>
        <v>0</v>
      </c>
      <c r="C547">
        <v>0.002824858757062</v>
      </c>
      <c r="D547">
        <v>-0.08727455038630101</v>
      </c>
      <c r="E547">
        <v>0.09835710528758301</v>
      </c>
      <c r="F547">
        <v>0.059701492537313</v>
      </c>
      <c r="G547">
        <v>-0.260216308583574</v>
      </c>
      <c r="H547">
        <v>0.08927448182752601</v>
      </c>
      <c r="I547">
        <v>-0.6358974358974351</v>
      </c>
    </row>
    <row r="548" spans="1:9">
      <c r="A548" s="1" t="s">
        <v>560</v>
      </c>
      <c r="B548">
        <f>HYPERLINK("https://www.suredividend.com/sure-analysis-research-database/","E2open Parent Holdings Inc")</f>
        <v>0</v>
      </c>
      <c r="C548">
        <v>0.038800705467372</v>
      </c>
      <c r="D548">
        <v>-0.092449922958397</v>
      </c>
      <c r="E548">
        <v>-0.24968152866242</v>
      </c>
      <c r="F548">
        <v>0.003407155025553</v>
      </c>
      <c r="G548">
        <v>-0.418558736426456</v>
      </c>
      <c r="H548">
        <v>-0.4546296296296291</v>
      </c>
      <c r="I548">
        <v>-0.405050505050505</v>
      </c>
    </row>
    <row r="549" spans="1:9">
      <c r="A549" s="1" t="s">
        <v>561</v>
      </c>
      <c r="B549">
        <f>HYPERLINK("https://www.suredividend.com/sure-analysis-research-database/","Entravision Communications Corp.")</f>
        <v>0</v>
      </c>
      <c r="C549">
        <v>-0.027777777777777</v>
      </c>
      <c r="D549">
        <v>0.255096526993172</v>
      </c>
      <c r="E549">
        <v>0.121868756723528</v>
      </c>
      <c r="F549">
        <v>0.06458333333333301</v>
      </c>
      <c r="G549">
        <v>-0.174448285889689</v>
      </c>
      <c r="H549">
        <v>0.80431481939197</v>
      </c>
      <c r="I549">
        <v>-0.09932140653917301</v>
      </c>
    </row>
    <row r="550" spans="1:9">
      <c r="A550" s="1" t="s">
        <v>562</v>
      </c>
      <c r="B550">
        <f>HYPERLINK("https://www.suredividend.com/sure-analysis-research-database/","EverCommerce Inc")</f>
        <v>0</v>
      </c>
      <c r="C550">
        <v>0.272151898734177</v>
      </c>
      <c r="D550">
        <v>-0.172839506172839</v>
      </c>
      <c r="E550">
        <v>-0.171134020618556</v>
      </c>
      <c r="F550">
        <v>0.08064516129032201</v>
      </c>
      <c r="G550">
        <v>-0.408823529411764</v>
      </c>
      <c r="H550">
        <v>-0.543181818181818</v>
      </c>
      <c r="I550">
        <v>-0.543181818181818</v>
      </c>
    </row>
    <row r="551" spans="1:9">
      <c r="A551" s="1" t="s">
        <v>563</v>
      </c>
      <c r="B551">
        <f>HYPERLINK("https://www.suredividend.com/sure-analysis-research-database/","EverQuote Inc")</f>
        <v>0</v>
      </c>
      <c r="C551">
        <v>0.281666666666666</v>
      </c>
      <c r="D551">
        <v>1.33030303030303</v>
      </c>
      <c r="E551">
        <v>0.6591154261057171</v>
      </c>
      <c r="F551">
        <v>0.04341926729986401</v>
      </c>
      <c r="G551">
        <v>0.022606382978723</v>
      </c>
      <c r="H551">
        <v>-0.5951566201632</v>
      </c>
      <c r="I551">
        <v>-0.145555555555555</v>
      </c>
    </row>
    <row r="552" spans="1:9">
      <c r="A552" s="1" t="s">
        <v>564</v>
      </c>
      <c r="B552">
        <f>HYPERLINK("https://www.suredividend.com/sure-analysis-research-database/","Evolent Health Inc")</f>
        <v>0</v>
      </c>
      <c r="C552">
        <v>0.032665181885671</v>
      </c>
      <c r="D552">
        <v>-0.183924904664124</v>
      </c>
      <c r="E552">
        <v>-0.168807887660591</v>
      </c>
      <c r="F552">
        <v>-0.009259259259259</v>
      </c>
      <c r="G552">
        <v>0.206418039895923</v>
      </c>
      <c r="H552">
        <v>0.637433784579164</v>
      </c>
      <c r="I552">
        <v>1.107575757575758</v>
      </c>
    </row>
    <row r="553" spans="1:9">
      <c r="A553" s="1" t="s">
        <v>565</v>
      </c>
      <c r="B553">
        <f>HYPERLINK("https://www.suredividend.com/sure-analysis-research-database/","EVI Industries Inc")</f>
        <v>0</v>
      </c>
      <c r="C553">
        <v>-0.09086956521739101</v>
      </c>
      <c r="D553">
        <v>0.3577922077922071</v>
      </c>
      <c r="E553">
        <v>1.07029702970297</v>
      </c>
      <c r="F553">
        <v>-0.124005027230833</v>
      </c>
      <c r="G553">
        <v>-0.303</v>
      </c>
      <c r="H553">
        <v>-0.366363636363636</v>
      </c>
      <c r="I553">
        <v>-0.441977390877357</v>
      </c>
    </row>
    <row r="554" spans="1:9">
      <c r="A554" s="1" t="s">
        <v>566</v>
      </c>
      <c r="B554">
        <f>HYPERLINK("https://www.suredividend.com/sure-analysis-research-database/","Evelo Biosciences Inc")</f>
        <v>0</v>
      </c>
      <c r="C554">
        <v>-0.299999999999999</v>
      </c>
      <c r="D554">
        <v>-0.408888888888888</v>
      </c>
      <c r="E554">
        <v>-0.431623931623931</v>
      </c>
      <c r="F554">
        <v>-0.17391304347826</v>
      </c>
      <c r="G554">
        <v>-0.7779632721202001</v>
      </c>
      <c r="H554">
        <v>-0.8971384377416861</v>
      </c>
      <c r="I554">
        <v>-0.9181538461538461</v>
      </c>
    </row>
    <row r="555" spans="1:9">
      <c r="A555" s="1" t="s">
        <v>567</v>
      </c>
      <c r="B555">
        <f>HYPERLINK("https://www.suredividend.com/sure-analysis-research-database/","EVO Payments Inc")</f>
        <v>0</v>
      </c>
      <c r="C555">
        <v>0.002368265245707</v>
      </c>
      <c r="D555">
        <v>0.008939213349225001</v>
      </c>
      <c r="E555">
        <v>0.311894614490507</v>
      </c>
      <c r="F555">
        <v>0.000591016548463</v>
      </c>
      <c r="G555">
        <v>0.345786963434022</v>
      </c>
      <c r="H555">
        <v>0.17979094076655</v>
      </c>
      <c r="I555">
        <v>0.780231335436382</v>
      </c>
    </row>
    <row r="556" spans="1:9">
      <c r="A556" s="1" t="s">
        <v>568</v>
      </c>
      <c r="B556">
        <f>HYPERLINK("https://www.suredividend.com/sure-analysis-research-database/","Everi Holdings Inc")</f>
        <v>0</v>
      </c>
      <c r="C556">
        <v>0.024489795918367</v>
      </c>
      <c r="D556">
        <v>-0.141391106043329</v>
      </c>
      <c r="E556">
        <v>-0.138443935926773</v>
      </c>
      <c r="F556">
        <v>0.04947735191637601</v>
      </c>
      <c r="G556">
        <v>-0.254455445544554</v>
      </c>
      <c r="H556">
        <v>0.184893784421715</v>
      </c>
      <c r="I556">
        <v>0.9973474801061001</v>
      </c>
    </row>
    <row r="557" spans="1:9">
      <c r="A557" s="1" t="s">
        <v>569</v>
      </c>
      <c r="B557">
        <f>HYPERLINK("https://www.suredividend.com/sure-analysis-research-database/","Evertec Inc")</f>
        <v>0</v>
      </c>
      <c r="C557">
        <v>0.05908233815210501</v>
      </c>
      <c r="D557">
        <v>0.04739053681096</v>
      </c>
      <c r="E557">
        <v>-0.082056520258767</v>
      </c>
      <c r="F557">
        <v>0.040765904879555</v>
      </c>
      <c r="G557">
        <v>-0.295614205601225</v>
      </c>
      <c r="H557">
        <v>-0.145881857973078</v>
      </c>
      <c r="I557">
        <v>1.464080722407048</v>
      </c>
    </row>
    <row r="558" spans="1:9">
      <c r="A558" s="1" t="s">
        <v>570</v>
      </c>
      <c r="B558">
        <f>HYPERLINK("https://www.suredividend.com/sure-analysis-research-database/","European Wax Center Inc")</f>
        <v>0</v>
      </c>
      <c r="C558">
        <v>0.154867256637168</v>
      </c>
      <c r="D558">
        <v>-0.084745762711864</v>
      </c>
      <c r="E558">
        <v>-0.122689075630252</v>
      </c>
      <c r="F558">
        <v>0.257831325301205</v>
      </c>
      <c r="G558">
        <v>-0.380238881105596</v>
      </c>
      <c r="H558">
        <v>-0.181471782729368</v>
      </c>
      <c r="I558">
        <v>-0.181471782729368</v>
      </c>
    </row>
    <row r="559" spans="1:9">
      <c r="A559" s="1" t="s">
        <v>571</v>
      </c>
      <c r="B559">
        <f>HYPERLINK("https://www.suredividend.com/sure-analysis-research-database/","Edgewise Therapeutics Inc")</f>
        <v>0</v>
      </c>
      <c r="C559">
        <v>0.177150192554557</v>
      </c>
      <c r="D559">
        <v>-0.079317269076305</v>
      </c>
      <c r="E559">
        <v>-0.102739726027397</v>
      </c>
      <c r="F559">
        <v>0.02572706935123</v>
      </c>
      <c r="G559">
        <v>-0.4774928774928771</v>
      </c>
      <c r="H559">
        <v>-0.694333333333333</v>
      </c>
      <c r="I559">
        <v>-0.694333333333333</v>
      </c>
    </row>
    <row r="560" spans="1:9">
      <c r="A560" s="1" t="s">
        <v>572</v>
      </c>
      <c r="B560">
        <f>HYPERLINK("https://www.suredividend.com/sure-analysis-research-database/","Exlservice Hldgs Inc")</f>
        <v>0</v>
      </c>
      <c r="C560">
        <v>-0.050882716743506</v>
      </c>
      <c r="D560">
        <v>0.07508597630875001</v>
      </c>
      <c r="E560">
        <v>0.10615293886377</v>
      </c>
      <c r="F560">
        <v>-0.003659328336186</v>
      </c>
      <c r="G560">
        <v>0.263453334331262</v>
      </c>
      <c r="H560">
        <v>0.931685547545485</v>
      </c>
      <c r="I560">
        <v>1.760588716271463</v>
      </c>
    </row>
    <row r="561" spans="1:9">
      <c r="A561" s="1" t="s">
        <v>573</v>
      </c>
      <c r="B561">
        <f>HYPERLINK("https://www.suredividend.com/sure-analysis-research-database/","eXp World Holdings Inc")</f>
        <v>0</v>
      </c>
      <c r="C561">
        <v>-0.053453947368421</v>
      </c>
      <c r="D561">
        <v>-0.060124282436327</v>
      </c>
      <c r="E561">
        <v>-0.198657699430497</v>
      </c>
      <c r="F561">
        <v>0.038808664259927</v>
      </c>
      <c r="G561">
        <v>-0.589107603115785</v>
      </c>
      <c r="H561">
        <v>-0.8426430499085381</v>
      </c>
      <c r="I561">
        <v>28.25031766200762</v>
      </c>
    </row>
    <row r="562" spans="1:9">
      <c r="A562" s="1" t="s">
        <v>574</v>
      </c>
      <c r="B562">
        <f>HYPERLINK("https://www.suredividend.com/sure-analysis-EXPO/","Exponent Inc.")</f>
        <v>0</v>
      </c>
      <c r="C562">
        <v>-0.04504767464487201</v>
      </c>
      <c r="D562">
        <v>0.113427837624445</v>
      </c>
      <c r="E562">
        <v>0.052185845071932</v>
      </c>
      <c r="F562">
        <v>-0.009486325562619</v>
      </c>
      <c r="G562">
        <v>-0.0426547773136</v>
      </c>
      <c r="H562">
        <v>0.07634540433959601</v>
      </c>
      <c r="I562">
        <v>1.886026222701838</v>
      </c>
    </row>
    <row r="563" spans="1:9">
      <c r="A563" s="1" t="s">
        <v>575</v>
      </c>
      <c r="B563">
        <f>HYPERLINK("https://www.suredividend.com/sure-analysis-research-database/","Extreme Networks Inc.")</f>
        <v>0</v>
      </c>
      <c r="C563">
        <v>-0.026876267748478</v>
      </c>
      <c r="D563">
        <v>0.400729927007299</v>
      </c>
      <c r="E563">
        <v>1.048025613660619</v>
      </c>
      <c r="F563">
        <v>0.04806116876024</v>
      </c>
      <c r="G563">
        <v>0.346666666666666</v>
      </c>
      <c r="H563">
        <v>1.541721854304635</v>
      </c>
      <c r="I563">
        <v>0.5039184952978051</v>
      </c>
    </row>
    <row r="564" spans="1:9">
      <c r="A564" s="1" t="s">
        <v>576</v>
      </c>
      <c r="B564">
        <f>HYPERLINK("https://www.suredividend.com/sure-analysis-research-database/","National Vision Holdings Inc")</f>
        <v>0</v>
      </c>
      <c r="C564">
        <v>0.041307189542483</v>
      </c>
      <c r="D564">
        <v>0.184711481261154</v>
      </c>
      <c r="E564">
        <v>0.333444928021426</v>
      </c>
      <c r="F564">
        <v>0.027605779153766</v>
      </c>
      <c r="G564">
        <v>-0.07328990228013001</v>
      </c>
      <c r="H564">
        <v>-0.206415620641562</v>
      </c>
      <c r="I564">
        <v>0.049262381454162</v>
      </c>
    </row>
    <row r="565" spans="1:9">
      <c r="A565" s="1" t="s">
        <v>577</v>
      </c>
      <c r="B565">
        <f>HYPERLINK("https://www.suredividend.com/sure-analysis-research-database/","EyePoint Pharmaceuticals Inc")</f>
        <v>0</v>
      </c>
      <c r="C565">
        <v>0.123711340206185</v>
      </c>
      <c r="D565">
        <v>-0.469155844155844</v>
      </c>
      <c r="E565">
        <v>-0.6036363636363631</v>
      </c>
      <c r="F565">
        <v>-0.065714285714285</v>
      </c>
      <c r="G565">
        <v>-0.7682494684620831</v>
      </c>
      <c r="H565">
        <v>-0.6840579710144921</v>
      </c>
      <c r="I565">
        <v>1.972727272727272</v>
      </c>
    </row>
    <row r="566" spans="1:9">
      <c r="A566" s="1" t="s">
        <v>578</v>
      </c>
      <c r="B566">
        <f>HYPERLINK("https://www.suredividend.com/sure-analysis-research-database/","EZCorp, Inc.")</f>
        <v>0</v>
      </c>
      <c r="C566">
        <v>0.101123595505618</v>
      </c>
      <c r="D566">
        <v>0.11787072243346</v>
      </c>
      <c r="E566">
        <v>0.203274215552524</v>
      </c>
      <c r="F566">
        <v>0.082208588957055</v>
      </c>
      <c r="G566">
        <v>0.203274215552524</v>
      </c>
      <c r="H566">
        <v>0.7926829268292681</v>
      </c>
      <c r="I566">
        <v>-0.265</v>
      </c>
    </row>
    <row r="567" spans="1:9">
      <c r="A567" s="1" t="s">
        <v>579</v>
      </c>
      <c r="B567">
        <f>HYPERLINK("https://www.suredividend.com/sure-analysis-research-database/","First Advantage Corp.")</f>
        <v>0</v>
      </c>
      <c r="C567">
        <v>-0.017777777777777</v>
      </c>
      <c r="D567">
        <v>0.004545454545454001</v>
      </c>
      <c r="E567">
        <v>0.03351519875292201</v>
      </c>
      <c r="F567">
        <v>0.02</v>
      </c>
      <c r="G567">
        <v>-0.263333333333333</v>
      </c>
      <c r="H567">
        <v>-0.326903553299492</v>
      </c>
      <c r="I567">
        <v>-0.326903553299492</v>
      </c>
    </row>
    <row r="568" spans="1:9">
      <c r="A568" s="1" t="s">
        <v>580</v>
      </c>
      <c r="B568">
        <f>HYPERLINK("https://www.suredividend.com/sure-analysis-research-database/","Faro Technologies Inc.")</f>
        <v>0</v>
      </c>
      <c r="C568">
        <v>-0.005393401015228</v>
      </c>
      <c r="D568">
        <v>0.149614961496149</v>
      </c>
      <c r="E568">
        <v>0.06271186440677901</v>
      </c>
      <c r="F568">
        <v>0.06596395783747</v>
      </c>
      <c r="G568">
        <v>-0.507307873644507</v>
      </c>
      <c r="H568">
        <v>-0.592910011686793</v>
      </c>
      <c r="I568">
        <v>-0.39067055393586</v>
      </c>
    </row>
    <row r="569" spans="1:9">
      <c r="A569" s="1" t="s">
        <v>581</v>
      </c>
      <c r="B569">
        <f>HYPERLINK("https://www.suredividend.com/sure-analysis-research-database/","Fate Therapeutics Inc")</f>
        <v>0</v>
      </c>
      <c r="C569">
        <v>-0.721164021164021</v>
      </c>
      <c r="D569">
        <v>-0.7545412203074051</v>
      </c>
      <c r="E569">
        <v>-0.824391869376874</v>
      </c>
      <c r="F569">
        <v>-0.4777006937561941</v>
      </c>
      <c r="G569">
        <v>-0.8909128544814731</v>
      </c>
      <c r="H569">
        <v>-0.9546900524460491</v>
      </c>
      <c r="I569">
        <v>-0.196646341463414</v>
      </c>
    </row>
    <row r="570" spans="1:9">
      <c r="A570" s="1" t="s">
        <v>582</v>
      </c>
      <c r="B570">
        <f>HYPERLINK("https://www.suredividend.com/sure-analysis-research-database/","Flagstar Bancorp, Inc.")</f>
        <v>0</v>
      </c>
      <c r="C570">
        <v>-0.028407561546265</v>
      </c>
      <c r="D570">
        <v>-0.01774804216828</v>
      </c>
      <c r="E570">
        <v>-0.013426752061055</v>
      </c>
      <c r="F570">
        <v>-0.212102640736434</v>
      </c>
      <c r="G570">
        <v>-0.170214364973055</v>
      </c>
      <c r="H570">
        <v>0.05026088659476501</v>
      </c>
      <c r="I570">
        <v>0.015640429739813</v>
      </c>
    </row>
    <row r="571" spans="1:9">
      <c r="A571" s="1" t="s">
        <v>583</v>
      </c>
      <c r="B571">
        <f>HYPERLINK("https://www.suredividend.com/sure-analysis-research-database/","Fortress Biotech Inc")</f>
        <v>0</v>
      </c>
      <c r="C571">
        <v>0.164289871944121</v>
      </c>
      <c r="D571">
        <v>-0.09079545454545401</v>
      </c>
      <c r="E571">
        <v>-0.135027027027027</v>
      </c>
      <c r="F571">
        <v>0.221526717557251</v>
      </c>
      <c r="G571">
        <v>-0.6680082987551861</v>
      </c>
      <c r="H571">
        <v>-0.763284023668639</v>
      </c>
      <c r="I571">
        <v>-0.803897058823529</v>
      </c>
    </row>
    <row r="572" spans="1:9">
      <c r="A572" s="1" t="s">
        <v>584</v>
      </c>
      <c r="B572">
        <f>HYPERLINK("https://www.suredividend.com/sure-analysis-research-database/","FB Financial Corp")</f>
        <v>0</v>
      </c>
      <c r="C572">
        <v>-0.105752753977968</v>
      </c>
      <c r="D572">
        <v>-0.05339642296310401</v>
      </c>
      <c r="E572">
        <v>-0.08773068950877801</v>
      </c>
      <c r="F572">
        <v>0.010791366906474</v>
      </c>
      <c r="G572">
        <v>-0.20344874204648</v>
      </c>
      <c r="H572">
        <v>0.011101915640941</v>
      </c>
      <c r="I572">
        <v>-0.107020631661288</v>
      </c>
    </row>
    <row r="573" spans="1:9">
      <c r="A573" s="1" t="s">
        <v>585</v>
      </c>
      <c r="B573">
        <f>HYPERLINK("https://www.suredividend.com/sure-analysis-research-database/","First Bancshares Inc Miss")</f>
        <v>0</v>
      </c>
      <c r="C573">
        <v>-0.095508982035928</v>
      </c>
      <c r="D573">
        <v>0.001196398211699</v>
      </c>
      <c r="E573">
        <v>0.070517363571934</v>
      </c>
      <c r="F573">
        <v>-0.05623242736644701</v>
      </c>
      <c r="G573">
        <v>-0.222535907208721</v>
      </c>
      <c r="H573">
        <v>-0.018614170158853</v>
      </c>
      <c r="I573">
        <v>-0.019960876293174</v>
      </c>
    </row>
    <row r="574" spans="1:9">
      <c r="A574" s="1" t="s">
        <v>586</v>
      </c>
      <c r="B574">
        <f>HYPERLINK("https://www.suredividend.com/sure-analysis-research-database/","First Bancorp")</f>
        <v>0</v>
      </c>
      <c r="C574">
        <v>-0.105815788041999</v>
      </c>
      <c r="D574">
        <v>0.09846925408885</v>
      </c>
      <c r="E574">
        <v>0.184221523492776</v>
      </c>
      <c r="F574">
        <v>-0.040849673202614</v>
      </c>
      <c r="G574">
        <v>-0.131363098258075</v>
      </c>
      <c r="H574">
        <v>0.182636626334028</v>
      </c>
      <c r="I574">
        <v>0.2650589426952</v>
      </c>
    </row>
    <row r="575" spans="1:9">
      <c r="A575" s="1" t="s">
        <v>587</v>
      </c>
      <c r="B575">
        <f>HYPERLINK("https://www.suredividend.com/sure-analysis-research-database/","First Bancorp PR")</f>
        <v>0</v>
      </c>
      <c r="C575">
        <v>-0.051835853131749</v>
      </c>
      <c r="D575">
        <v>-0.08579758433985801</v>
      </c>
      <c r="E575">
        <v>-0.014693559971271</v>
      </c>
      <c r="F575">
        <v>0.035377358490565</v>
      </c>
      <c r="G575">
        <v>-0.148190308643572</v>
      </c>
      <c r="H575">
        <v>0.383112791430371</v>
      </c>
      <c r="I575">
        <v>1.848861104501504</v>
      </c>
    </row>
    <row r="576" spans="1:9">
      <c r="A576" s="1" t="s">
        <v>588</v>
      </c>
      <c r="B576">
        <f>HYPERLINK("https://www.suredividend.com/sure-analysis-research-database/","Franklin BSP Realty Trust Inc.")</f>
        <v>0</v>
      </c>
      <c r="C576">
        <v>0.000983240553867</v>
      </c>
      <c r="D576">
        <v>0.252346994459705</v>
      </c>
      <c r="E576">
        <v>0.04835275444233601</v>
      </c>
      <c r="F576">
        <v>0.04961240310077501</v>
      </c>
      <c r="G576">
        <v>-0.016538710169454</v>
      </c>
      <c r="H576">
        <v>-0.08999260703004201</v>
      </c>
      <c r="I576">
        <v>-0.08999260703004201</v>
      </c>
    </row>
    <row r="577" spans="1:9">
      <c r="A577" s="1" t="s">
        <v>589</v>
      </c>
      <c r="B577">
        <f>HYPERLINK("https://www.suredividend.com/sure-analysis-research-database/","Forte Biosciences Inc")</f>
        <v>0</v>
      </c>
      <c r="C577">
        <v>0.020616452337211</v>
      </c>
      <c r="D577">
        <v>-0.07834101382488401</v>
      </c>
      <c r="E577">
        <v>-0.346405228758169</v>
      </c>
      <c r="F577">
        <v>0</v>
      </c>
      <c r="G577">
        <v>-0.468085106382978</v>
      </c>
      <c r="H577">
        <v>-0.9713302752293571</v>
      </c>
      <c r="I577">
        <v>-0.994004796163069</v>
      </c>
    </row>
    <row r="578" spans="1:9">
      <c r="A578" s="1" t="s">
        <v>590</v>
      </c>
      <c r="B578">
        <f>HYPERLINK("https://www.suredividend.com/sure-analysis-research-database/","Franklin Covey Co.")</f>
        <v>0</v>
      </c>
      <c r="C578">
        <v>-0.069380008435259</v>
      </c>
      <c r="D578">
        <v>-0.037093606807767</v>
      </c>
      <c r="E578">
        <v>-0.106137330362568</v>
      </c>
      <c r="F578">
        <v>-0.056446440025657</v>
      </c>
      <c r="G578">
        <v>-0.128898539281484</v>
      </c>
      <c r="H578">
        <v>0.7602712405265251</v>
      </c>
      <c r="I578">
        <v>0.4934010152284261</v>
      </c>
    </row>
    <row r="579" spans="1:9">
      <c r="A579" s="1" t="s">
        <v>591</v>
      </c>
      <c r="B579">
        <f>HYPERLINK("https://www.suredividend.com/sure-analysis-research-database/","First Community Bankshares Inc.")</f>
        <v>0</v>
      </c>
      <c r="C579">
        <v>-0.08219559765951501</v>
      </c>
      <c r="D579">
        <v>0.017794408001458</v>
      </c>
      <c r="E579">
        <v>0.139275968332693</v>
      </c>
      <c r="F579">
        <v>-0.028318584070796</v>
      </c>
      <c r="G579">
        <v>-0.031341712296137</v>
      </c>
      <c r="H579">
        <v>0.5641619814617831</v>
      </c>
      <c r="I579">
        <v>0.373730633692682</v>
      </c>
    </row>
    <row r="580" spans="1:9">
      <c r="A580" s="1" t="s">
        <v>592</v>
      </c>
      <c r="B580">
        <f>HYPERLINK("https://www.suredividend.com/sure-analysis-research-database/","Fuelcell Energy Inc")</f>
        <v>0</v>
      </c>
      <c r="C580">
        <v>-0.086687306501547</v>
      </c>
      <c r="D580">
        <v>-0.05144694533762</v>
      </c>
      <c r="E580">
        <v>-0.317129629629629</v>
      </c>
      <c r="F580">
        <v>0.06115107913669</v>
      </c>
      <c r="G580">
        <v>-0.4215686274509801</v>
      </c>
      <c r="H580">
        <v>-0.8074412532637071</v>
      </c>
      <c r="I580">
        <v>-0.8587164750957851</v>
      </c>
    </row>
    <row r="581" spans="1:9">
      <c r="A581" s="1" t="s">
        <v>593</v>
      </c>
      <c r="B581">
        <f>HYPERLINK("https://www.suredividend.com/sure-analysis-research-database/","First Commonwealth Financial Corp.")</f>
        <v>0</v>
      </c>
      <c r="C581">
        <v>-0.017494751574527</v>
      </c>
      <c r="D581">
        <v>0.08088965533169601</v>
      </c>
      <c r="E581">
        <v>0.047440708439954</v>
      </c>
      <c r="F581">
        <v>0.005010737294201001</v>
      </c>
      <c r="G581">
        <v>-0.158969198145419</v>
      </c>
      <c r="H581">
        <v>0.261387526278906</v>
      </c>
      <c r="I581">
        <v>0.13390405427233</v>
      </c>
    </row>
    <row r="582" spans="1:9">
      <c r="A582" s="1" t="s">
        <v>594</v>
      </c>
      <c r="B582">
        <f>HYPERLINK("https://www.suredividend.com/sure-analysis-research-database/","FirstCash Holdings Inc")</f>
        <v>0</v>
      </c>
      <c r="C582">
        <v>-0.010430390865173</v>
      </c>
      <c r="D582">
        <v>0.16273069490349</v>
      </c>
      <c r="E582">
        <v>0.307518558117335</v>
      </c>
      <c r="F582">
        <v>0.037049821654585</v>
      </c>
      <c r="G582">
        <v>0.240580029318045</v>
      </c>
      <c r="H582">
        <v>0.402039981395319</v>
      </c>
      <c r="I582">
        <v>0.402039981395319</v>
      </c>
    </row>
    <row r="583" spans="1:9">
      <c r="A583" s="1" t="s">
        <v>595</v>
      </c>
      <c r="B583">
        <f>HYPERLINK("https://www.suredividend.com/sure-analysis-FCPT/","Four Corners Property Trust Inc")</f>
        <v>0</v>
      </c>
      <c r="C583">
        <v>0.023042931669163</v>
      </c>
      <c r="D583">
        <v>0.19377025851846</v>
      </c>
      <c r="E583">
        <v>0.020147730002402</v>
      </c>
      <c r="F583">
        <v>0.048206710374083</v>
      </c>
      <c r="G583">
        <v>0.00481705896923</v>
      </c>
      <c r="H583">
        <v>0.081549982889385</v>
      </c>
      <c r="I583">
        <v>0.3691177803971341</v>
      </c>
    </row>
    <row r="584" spans="1:9">
      <c r="A584" s="1" t="s">
        <v>596</v>
      </c>
      <c r="B584">
        <f>HYPERLINK("https://www.suredividend.com/sure-analysis-research-database/","Fidelity D&amp;D Bancorp, Inc.")</f>
        <v>0</v>
      </c>
      <c r="C584">
        <v>-0.026770477815699</v>
      </c>
      <c r="D584">
        <v>0.112658332804947</v>
      </c>
      <c r="E584">
        <v>0.163395559590076</v>
      </c>
      <c r="F584">
        <v>-0.032138311412812</v>
      </c>
      <c r="G584">
        <v>-0.118219470100634</v>
      </c>
      <c r="H584">
        <v>-0.268484299468498</v>
      </c>
      <c r="I584">
        <v>0.03854155759609201</v>
      </c>
    </row>
    <row r="585" spans="1:9">
      <c r="A585" s="1" t="s">
        <v>597</v>
      </c>
      <c r="B585">
        <f>HYPERLINK("https://www.suredividend.com/sure-analysis-research-database/","4D Molecular Therapeutics Inc")</f>
        <v>0</v>
      </c>
      <c r="C585">
        <v>-0.109829059829059</v>
      </c>
      <c r="D585">
        <v>1.925561797752808</v>
      </c>
      <c r="E585">
        <v>1.450588235294117</v>
      </c>
      <c r="F585">
        <v>-0.06213417379558701</v>
      </c>
      <c r="G585">
        <v>0.110341151385927</v>
      </c>
      <c r="H585">
        <v>-0.528733031674208</v>
      </c>
      <c r="I585">
        <v>-0.4856790123456791</v>
      </c>
    </row>
    <row r="586" spans="1:9">
      <c r="A586" s="1" t="s">
        <v>598</v>
      </c>
      <c r="B586">
        <f>HYPERLINK("https://www.suredividend.com/sure-analysis-research-database/","Fresh Del Monte Produce Inc")</f>
        <v>0</v>
      </c>
      <c r="C586">
        <v>-0.004479283314669001</v>
      </c>
      <c r="D586">
        <v>0.132825607720374</v>
      </c>
      <c r="E586">
        <v>-0.113361414100445</v>
      </c>
      <c r="F586">
        <v>0.018327605956471</v>
      </c>
      <c r="G586">
        <v>-0.061955929163076</v>
      </c>
      <c r="H586">
        <v>0.08991046142403501</v>
      </c>
      <c r="I586">
        <v>-0.41081216020077</v>
      </c>
    </row>
    <row r="587" spans="1:9">
      <c r="A587" s="1" t="s">
        <v>599</v>
      </c>
      <c r="B587">
        <f>HYPERLINK("https://www.suredividend.com/sure-analysis-FELE/","Franklin Electric Co., Inc.")</f>
        <v>0</v>
      </c>
      <c r="C587">
        <v>0.01568139390168</v>
      </c>
      <c r="D587">
        <v>-0.024147010501091</v>
      </c>
      <c r="E587">
        <v>0.095164288062695</v>
      </c>
      <c r="F587">
        <v>0.023322884012539</v>
      </c>
      <c r="G587">
        <v>-0.100125261328652</v>
      </c>
      <c r="H587">
        <v>0.143387936493703</v>
      </c>
      <c r="I587">
        <v>0.9130826158199101</v>
      </c>
    </row>
    <row r="588" spans="1:9">
      <c r="A588" s="1" t="s">
        <v>600</v>
      </c>
      <c r="B588">
        <f>HYPERLINK("https://www.suredividend.com/sure-analysis-research-database/","Futurefuel Corp")</f>
        <v>0</v>
      </c>
      <c r="C588">
        <v>0.057247259439707</v>
      </c>
      <c r="D588">
        <v>0.4892339366904001</v>
      </c>
      <c r="E588">
        <v>0.273847960082183</v>
      </c>
      <c r="F588">
        <v>0.06765067650676501</v>
      </c>
      <c r="G588">
        <v>0.095862739404345</v>
      </c>
      <c r="H588">
        <v>-0.206116923977463</v>
      </c>
      <c r="I588">
        <v>0.09944394482514</v>
      </c>
    </row>
    <row r="589" spans="1:9">
      <c r="A589" s="1" t="s">
        <v>601</v>
      </c>
      <c r="B589">
        <f>HYPERLINK("https://www.suredividend.com/sure-analysis-research-database/","First Financial Bancorp")</f>
        <v>0</v>
      </c>
      <c r="C589">
        <v>-0.008817635270541</v>
      </c>
      <c r="D589">
        <v>0.144510008099039</v>
      </c>
      <c r="E589">
        <v>0.270883760130326</v>
      </c>
      <c r="F589">
        <v>0.020635575732562</v>
      </c>
      <c r="G589">
        <v>-0.039693696072568</v>
      </c>
      <c r="H589">
        <v>0.340001733928648</v>
      </c>
      <c r="I589">
        <v>0.08103618607985501</v>
      </c>
    </row>
    <row r="590" spans="1:9">
      <c r="A590" s="1" t="s">
        <v>602</v>
      </c>
      <c r="B590">
        <f>HYPERLINK("https://www.suredividend.com/sure-analysis-research-database/","Flushing Financial Corp.")</f>
        <v>0</v>
      </c>
      <c r="C590">
        <v>-0.0175</v>
      </c>
      <c r="D590">
        <v>0.015803104790558</v>
      </c>
      <c r="E590">
        <v>-0.054470214608796</v>
      </c>
      <c r="F590">
        <v>0.013931888544891</v>
      </c>
      <c r="G590">
        <v>-0.200029311903075</v>
      </c>
      <c r="H590">
        <v>0.157202925691671</v>
      </c>
      <c r="I590">
        <v>-0.140536497675293</v>
      </c>
    </row>
    <row r="591" spans="1:9">
      <c r="A591" s="1" t="s">
        <v>603</v>
      </c>
      <c r="B591">
        <f>HYPERLINK("https://www.suredividend.com/sure-analysis-research-database/","First Financial Bankshares, Inc.")</f>
        <v>0</v>
      </c>
      <c r="C591">
        <v>-0.037859250940979</v>
      </c>
      <c r="D591">
        <v>-0.203583640066516</v>
      </c>
      <c r="E591">
        <v>-0.156835934119462</v>
      </c>
      <c r="F591">
        <v>-0.008720930232558001</v>
      </c>
      <c r="G591">
        <v>-0.343318992909385</v>
      </c>
      <c r="H591">
        <v>-0.09275454088324701</v>
      </c>
      <c r="I591">
        <v>0.59322714933818</v>
      </c>
    </row>
    <row r="592" spans="1:9">
      <c r="A592" s="1" t="s">
        <v>604</v>
      </c>
      <c r="B592">
        <f>HYPERLINK("https://www.suredividend.com/sure-analysis-research-database/","First Foundation Inc")</f>
        <v>0</v>
      </c>
      <c r="C592">
        <v>0.01521438450899</v>
      </c>
      <c r="D592">
        <v>-0.172216238771632</v>
      </c>
      <c r="E592">
        <v>-0.258106250505377</v>
      </c>
      <c r="F592">
        <v>0.024424284717376</v>
      </c>
      <c r="G592">
        <v>-0.4401925005624761</v>
      </c>
      <c r="H592">
        <v>-0.268195413758723</v>
      </c>
      <c r="I592">
        <v>-0.155248908095914</v>
      </c>
    </row>
    <row r="593" spans="1:9">
      <c r="A593" s="1" t="s">
        <v>605</v>
      </c>
      <c r="B593">
        <f>HYPERLINK("https://www.suredividend.com/sure-analysis-research-database/","FibroGen Inc")</f>
        <v>0</v>
      </c>
      <c r="C593">
        <v>0.3630136986301361</v>
      </c>
      <c r="D593">
        <v>0.351902173913043</v>
      </c>
      <c r="E593">
        <v>0.613949716139497</v>
      </c>
      <c r="F593">
        <v>0.242197253433208</v>
      </c>
      <c r="G593">
        <v>0.47080561714708</v>
      </c>
      <c r="H593">
        <v>-0.481770833333333</v>
      </c>
      <c r="I593">
        <v>-0.58841778697001</v>
      </c>
    </row>
    <row r="594" spans="1:9">
      <c r="A594" s="1" t="s">
        <v>606</v>
      </c>
      <c r="B594">
        <f>HYPERLINK("https://www.suredividend.com/sure-analysis-research-database/","Federated Hermes Inc")</f>
        <v>0</v>
      </c>
      <c r="C594">
        <v>0.049655172413793</v>
      </c>
      <c r="D594">
        <v>0.194467465280393</v>
      </c>
      <c r="E594">
        <v>0.176492413865604</v>
      </c>
      <c r="F594">
        <v>0.047920683007435</v>
      </c>
      <c r="G594">
        <v>0.004061103913067</v>
      </c>
      <c r="H594">
        <v>0.342677379855957</v>
      </c>
      <c r="I594">
        <v>0.1811194715538</v>
      </c>
    </row>
    <row r="595" spans="1:9">
      <c r="A595" s="1" t="s">
        <v>607</v>
      </c>
      <c r="B595">
        <f>HYPERLINK("https://www.suredividend.com/sure-analysis-research-database/","Foghorn Therapeutics Inc")</f>
        <v>0</v>
      </c>
      <c r="C595">
        <v>0.006420545746388001</v>
      </c>
      <c r="D595">
        <v>-0.229729729729729</v>
      </c>
      <c r="E595">
        <v>-0.595744680851063</v>
      </c>
      <c r="F595">
        <v>-0.017241379310344</v>
      </c>
      <c r="G595">
        <v>-0.652631578947368</v>
      </c>
      <c r="H595">
        <v>-0.674454828660436</v>
      </c>
      <c r="I595">
        <v>-0.653973509933774</v>
      </c>
    </row>
    <row r="596" spans="1:9">
      <c r="A596" s="1" t="s">
        <v>608</v>
      </c>
      <c r="B596">
        <f>HYPERLINK("https://www.suredividend.com/sure-analysis-research-database/","First Interstate BancSystem Inc.")</f>
        <v>0</v>
      </c>
      <c r="C596">
        <v>-0.040029651593773</v>
      </c>
      <c r="D596">
        <v>-0.05441322507155701</v>
      </c>
      <c r="E596">
        <v>0.024071613841968</v>
      </c>
      <c r="F596">
        <v>0.005174644243208001</v>
      </c>
      <c r="G596">
        <v>-0.07800963996098401</v>
      </c>
      <c r="H596">
        <v>0.010729077778008</v>
      </c>
      <c r="I596">
        <v>0.172401930162868</v>
      </c>
    </row>
    <row r="597" spans="1:9">
      <c r="A597" s="1" t="s">
        <v>609</v>
      </c>
      <c r="B597">
        <f>HYPERLINK("https://www.suredividend.com/sure-analysis-research-database/","Financial Institutions Inc.")</f>
        <v>0</v>
      </c>
      <c r="C597">
        <v>0.018430344757843</v>
      </c>
      <c r="D597">
        <v>0.016733831954972</v>
      </c>
      <c r="E597">
        <v>-0.041131758097021</v>
      </c>
      <c r="F597">
        <v>-0.007799671592774</v>
      </c>
      <c r="G597">
        <v>-0.248931039626112</v>
      </c>
      <c r="H597">
        <v>0.02444338011215</v>
      </c>
      <c r="I597">
        <v>-0.07711457983321601</v>
      </c>
    </row>
    <row r="598" spans="1:9">
      <c r="A598" s="1" t="s">
        <v>610</v>
      </c>
      <c r="B598">
        <f>HYPERLINK("https://www.suredividend.com/sure-analysis-research-database/","Comfort Systems USA, Inc.")</f>
        <v>0</v>
      </c>
      <c r="C598">
        <v>-0.04982176904584201</v>
      </c>
      <c r="D598">
        <v>0.138963028914278</v>
      </c>
      <c r="E598">
        <v>0.336025121281987</v>
      </c>
      <c r="F598">
        <v>-0.003997219325686001</v>
      </c>
      <c r="G598">
        <v>0.202401445986872</v>
      </c>
      <c r="H598">
        <v>1.034177446576665</v>
      </c>
      <c r="I598">
        <v>1.830920308432496</v>
      </c>
    </row>
    <row r="599" spans="1:9">
      <c r="A599" s="1" t="s">
        <v>611</v>
      </c>
      <c r="B599">
        <f>HYPERLINK("https://www.suredividend.com/sure-analysis-research-database/","Homology Medicines Inc")</f>
        <v>0</v>
      </c>
      <c r="C599">
        <v>0.195652173913043</v>
      </c>
      <c r="D599">
        <v>0.130136986301369</v>
      </c>
      <c r="E599">
        <v>-0.273127753303964</v>
      </c>
      <c r="F599">
        <v>0.309523809523809</v>
      </c>
      <c r="G599">
        <v>-0.527220630372492</v>
      </c>
      <c r="H599">
        <v>-0.870790916209866</v>
      </c>
      <c r="I599">
        <v>-0.9115755627009641</v>
      </c>
    </row>
    <row r="600" spans="1:9">
      <c r="A600" s="1" t="s">
        <v>612</v>
      </c>
      <c r="B600">
        <f>HYPERLINK("https://www.suredividend.com/sure-analysis-research-database/","National Beverage Corp.")</f>
        <v>0</v>
      </c>
      <c r="C600">
        <v>-0.112508735150244</v>
      </c>
      <c r="D600">
        <v>0.139743589743589</v>
      </c>
      <c r="E600">
        <v>-0.116653418124006</v>
      </c>
      <c r="F600">
        <v>-0.044702342574682</v>
      </c>
      <c r="G600">
        <v>-0.007812499999999001</v>
      </c>
      <c r="H600">
        <v>0.143093733686162</v>
      </c>
      <c r="I600">
        <v>0.002978473757841</v>
      </c>
    </row>
    <row r="601" spans="1:9">
      <c r="A601" s="1" t="s">
        <v>613</v>
      </c>
      <c r="B601">
        <f>HYPERLINK("https://www.suredividend.com/sure-analysis-research-database/","Fulgent Genetics Inc")</f>
        <v>0</v>
      </c>
      <c r="C601">
        <v>-0.111208920187793</v>
      </c>
      <c r="D601">
        <v>-0.194843168527379</v>
      </c>
      <c r="E601">
        <v>-0.485476473585867</v>
      </c>
      <c r="F601">
        <v>0.017125587642713</v>
      </c>
      <c r="G601">
        <v>-0.6272</v>
      </c>
      <c r="H601">
        <v>-0.52178718029681</v>
      </c>
      <c r="I601">
        <v>5.599128540305011</v>
      </c>
    </row>
    <row r="602" spans="1:9">
      <c r="A602" s="1" t="s">
        <v>614</v>
      </c>
      <c r="B602">
        <f>HYPERLINK("https://www.suredividend.com/sure-analysis-FLIC/","First Of Long Island Corp.")</f>
        <v>0</v>
      </c>
      <c r="C602">
        <v>-0.00387170261819</v>
      </c>
      <c r="D602">
        <v>0.07839243050326901</v>
      </c>
      <c r="E602">
        <v>0.072024233994778</v>
      </c>
      <c r="F602">
        <v>0.010555555555555</v>
      </c>
      <c r="G602">
        <v>-0.150011915720807</v>
      </c>
      <c r="H602">
        <v>0.08353784936500701</v>
      </c>
      <c r="I602">
        <v>-0.221318493150684</v>
      </c>
    </row>
    <row r="603" spans="1:9">
      <c r="A603" s="1" t="s">
        <v>615</v>
      </c>
      <c r="B603">
        <f>HYPERLINK("https://www.suredividend.com/sure-analysis-research-database/","Full House Resorts, Inc.")</f>
        <v>0</v>
      </c>
      <c r="C603">
        <v>-0.048959608323133</v>
      </c>
      <c r="D603">
        <v>0.397482014388489</v>
      </c>
      <c r="E603">
        <v>0.348958333333333</v>
      </c>
      <c r="F603">
        <v>0.033244680851063</v>
      </c>
      <c r="G603">
        <v>-0.269049858889934</v>
      </c>
      <c r="H603">
        <v>0.9872122762148331</v>
      </c>
      <c r="I603">
        <v>1.066489361702127</v>
      </c>
    </row>
    <row r="604" spans="1:9">
      <c r="A604" s="1" t="s">
        <v>616</v>
      </c>
      <c r="B604">
        <f>HYPERLINK("https://www.suredividend.com/sure-analysis-research-database/","Fluent Inc")</f>
        <v>0</v>
      </c>
      <c r="C604">
        <v>0.118181818181818</v>
      </c>
      <c r="D604">
        <v>-0.095588235294117</v>
      </c>
      <c r="E604">
        <v>0.033613445378151</v>
      </c>
      <c r="F604">
        <v>0.128440366972476</v>
      </c>
      <c r="G604">
        <v>-0.369230769230769</v>
      </c>
      <c r="H604">
        <v>-0.7654909437559581</v>
      </c>
      <c r="I604">
        <v>-0.676392433371043</v>
      </c>
    </row>
    <row r="605" spans="1:9">
      <c r="A605" s="1" t="s">
        <v>617</v>
      </c>
      <c r="B605">
        <f>HYPERLINK("https://www.suredividend.com/sure-analysis-research-database/","Fluor Corporation")</f>
        <v>0</v>
      </c>
      <c r="C605">
        <v>-0.024347315928424</v>
      </c>
      <c r="D605">
        <v>0.172778561354019</v>
      </c>
      <c r="E605">
        <v>0.371546391752577</v>
      </c>
      <c r="F605">
        <v>-0.040392383150605</v>
      </c>
      <c r="G605">
        <v>0.395719681074276</v>
      </c>
      <c r="H605">
        <v>0.8994860079954311</v>
      </c>
      <c r="I605">
        <v>-0.345289767347557</v>
      </c>
    </row>
    <row r="606" spans="1:9">
      <c r="A606" s="1" t="s">
        <v>618</v>
      </c>
      <c r="B606">
        <f>HYPERLINK("https://www.suredividend.com/sure-analysis-research-database/","1-800 Flowers.com Inc.")</f>
        <v>0</v>
      </c>
      <c r="C606">
        <v>0.161634103019538</v>
      </c>
      <c r="D606">
        <v>0.6627118644067791</v>
      </c>
      <c r="E606">
        <v>-0.023880597014925</v>
      </c>
      <c r="F606">
        <v>0.026150627615062</v>
      </c>
      <c r="G606">
        <v>-0.595630667765869</v>
      </c>
      <c r="H606">
        <v>-0.6388070692194401</v>
      </c>
      <c r="I606">
        <v>-0.139473684210526</v>
      </c>
    </row>
    <row r="607" spans="1:9">
      <c r="A607" s="1" t="s">
        <v>619</v>
      </c>
      <c r="B607">
        <f>HYPERLINK("https://www.suredividend.com/sure-analysis-research-database/","Flexsteel Industries, Inc.")</f>
        <v>0</v>
      </c>
      <c r="C607">
        <v>0.103346315220292</v>
      </c>
      <c r="D607">
        <v>0.098878625720031</v>
      </c>
      <c r="E607">
        <v>-0.111297329481553</v>
      </c>
      <c r="F607">
        <v>0.04675324675324601</v>
      </c>
      <c r="G607">
        <v>-0.413875728564831</v>
      </c>
      <c r="H607">
        <v>-0.51371815562829</v>
      </c>
      <c r="I607">
        <v>-0.6019448402223381</v>
      </c>
    </row>
    <row r="608" spans="1:9">
      <c r="A608" s="1" t="s">
        <v>620</v>
      </c>
      <c r="B608">
        <f>HYPERLINK("https://www.suredividend.com/sure-analysis-research-database/","Flywire Corp")</f>
        <v>0</v>
      </c>
      <c r="C608">
        <v>0.166273027869626</v>
      </c>
      <c r="D608">
        <v>0.08718626155878401</v>
      </c>
      <c r="E608">
        <v>0.157524613220815</v>
      </c>
      <c r="F608">
        <v>0.008990600735594</v>
      </c>
      <c r="G608">
        <v>-0.254303835699184</v>
      </c>
      <c r="H608">
        <v>-0.296581196581196</v>
      </c>
      <c r="I608">
        <v>-0.296581196581196</v>
      </c>
    </row>
    <row r="609" spans="1:9">
      <c r="A609" s="1" t="s">
        <v>621</v>
      </c>
      <c r="B609">
        <f>HYPERLINK("https://www.suredividend.com/sure-analysis-research-database/","First Mid Bancshares Inc.")</f>
        <v>0</v>
      </c>
      <c r="C609">
        <v>-0.050074515648286</v>
      </c>
      <c r="D609">
        <v>0.003390812378196</v>
      </c>
      <c r="E609">
        <v>-0.106662331255325</v>
      </c>
      <c r="F609">
        <v>-0.006546134663341001</v>
      </c>
      <c r="G609">
        <v>-0.270532440363108</v>
      </c>
      <c r="H609">
        <v>-0.05252298828363</v>
      </c>
      <c r="I609">
        <v>-0.08407169933870301</v>
      </c>
    </row>
    <row r="610" spans="1:9">
      <c r="A610" s="1" t="s">
        <v>622</v>
      </c>
      <c r="B610">
        <f>HYPERLINK("https://www.suredividend.com/sure-analysis-research-database/","Farmers National Banc Corp.")</f>
        <v>0</v>
      </c>
      <c r="C610">
        <v>-0.026917900403768</v>
      </c>
      <c r="D610">
        <v>0.161679052018477</v>
      </c>
      <c r="E610">
        <v>-0.003940153748656</v>
      </c>
      <c r="F610">
        <v>0.024079320113314</v>
      </c>
      <c r="G610">
        <v>-0.231133254284331</v>
      </c>
      <c r="H610">
        <v>0.115207231108574</v>
      </c>
      <c r="I610">
        <v>0.118511127097208</v>
      </c>
    </row>
    <row r="611" spans="1:9">
      <c r="A611" s="1" t="s">
        <v>623</v>
      </c>
      <c r="B611">
        <f>HYPERLINK("https://www.suredividend.com/sure-analysis-research-database/","Forma Therapeutics Holdings Inc")</f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>
      <c r="A612" s="1" t="s">
        <v>624</v>
      </c>
      <c r="B612">
        <f>HYPERLINK("https://www.suredividend.com/sure-analysis-research-database/","Fabrinet")</f>
        <v>0</v>
      </c>
      <c r="C612">
        <v>0.003761996161228</v>
      </c>
      <c r="D612">
        <v>0.24918784635964</v>
      </c>
      <c r="E612">
        <v>0.5784136182542551</v>
      </c>
      <c r="F612">
        <v>0.01965372016846</v>
      </c>
      <c r="G612">
        <v>0.08389985077101601</v>
      </c>
      <c r="H612">
        <v>0.562940824865511</v>
      </c>
      <c r="I612">
        <v>3.451481103166497</v>
      </c>
    </row>
    <row r="613" spans="1:9">
      <c r="A613" s="1" t="s">
        <v>625</v>
      </c>
      <c r="B613">
        <f>HYPERLINK("https://www.suredividend.com/sure-analysis-research-database/","Paragon 28 Inc")</f>
        <v>0</v>
      </c>
      <c r="C613">
        <v>0.038501026694045</v>
      </c>
      <c r="D613">
        <v>0.215745192307692</v>
      </c>
      <c r="E613">
        <v>0.04493801652892501</v>
      </c>
      <c r="F613">
        <v>0.058608058608058</v>
      </c>
      <c r="G613">
        <v>0.312783906554185</v>
      </c>
      <c r="H613">
        <v>0.081239978621058</v>
      </c>
      <c r="I613">
        <v>0.081239978621058</v>
      </c>
    </row>
    <row r="614" spans="1:9">
      <c r="A614" s="1" t="s">
        <v>626</v>
      </c>
      <c r="B614">
        <f>HYPERLINK("https://www.suredividend.com/sure-analysis-research-database/","Finch Therapeutics Group Inc")</f>
        <v>0</v>
      </c>
      <c r="C614">
        <v>-0.480420039378691</v>
      </c>
      <c r="D614">
        <v>-0.7254335260115601</v>
      </c>
      <c r="E614">
        <v>-0.8207547169811321</v>
      </c>
      <c r="F614">
        <v>-0.010416666666666</v>
      </c>
      <c r="G614">
        <v>-0.9482006543075241</v>
      </c>
      <c r="H614">
        <v>-0.9777204502814251</v>
      </c>
      <c r="I614">
        <v>-0.9777204502814251</v>
      </c>
    </row>
    <row r="615" spans="1:9">
      <c r="A615" s="1" t="s">
        <v>627</v>
      </c>
      <c r="B615">
        <f>HYPERLINK("https://www.suredividend.com/sure-analysis-research-database/","Funko Inc")</f>
        <v>0</v>
      </c>
      <c r="C615">
        <v>0.189274447949526</v>
      </c>
      <c r="D615">
        <v>-0.470257611241217</v>
      </c>
      <c r="E615">
        <v>-0.5573385518590991</v>
      </c>
      <c r="F615">
        <v>0.036663611365719</v>
      </c>
      <c r="G615">
        <v>-0.385659967409016</v>
      </c>
      <c r="H615">
        <v>0.07509505703422001</v>
      </c>
      <c r="I615">
        <v>0.836038961038961</v>
      </c>
    </row>
    <row r="616" spans="1:9">
      <c r="A616" s="1" t="s">
        <v>628</v>
      </c>
      <c r="B616">
        <f>HYPERLINK("https://www.suredividend.com/sure-analysis-research-database/","First Bancorp Inc (ME)")</f>
        <v>0</v>
      </c>
      <c r="C616">
        <v>-0.014261103579037</v>
      </c>
      <c r="D616">
        <v>0.05863935102232901</v>
      </c>
      <c r="E616">
        <v>-0.011957998848816</v>
      </c>
      <c r="F616">
        <v>-0.019856272615777</v>
      </c>
      <c r="G616">
        <v>-0.09141590037834101</v>
      </c>
      <c r="H616">
        <v>0.199171616711516</v>
      </c>
      <c r="I616">
        <v>0.300873526932252</v>
      </c>
    </row>
    <row r="617" spans="1:9">
      <c r="A617" s="1" t="s">
        <v>629</v>
      </c>
      <c r="B617">
        <f>HYPERLINK("https://www.suredividend.com/sure-analysis-research-database/","Finance of America Companies Inc")</f>
        <v>0</v>
      </c>
      <c r="C617">
        <v>0.01418439716312</v>
      </c>
      <c r="D617">
        <v>-0.10062893081761</v>
      </c>
      <c r="E617">
        <v>-0.214285714285714</v>
      </c>
      <c r="F617">
        <v>0.125984251968503</v>
      </c>
      <c r="G617">
        <v>-0.648648648648648</v>
      </c>
      <c r="H617">
        <v>-0.862367661212704</v>
      </c>
      <c r="I617">
        <v>-0.85234899328859</v>
      </c>
    </row>
    <row r="618" spans="1:9">
      <c r="A618" s="1" t="s">
        <v>630</v>
      </c>
      <c r="B618">
        <f>HYPERLINK("https://www.suredividend.com/sure-analysis-research-database/","Focus Financial Partners Inc")</f>
        <v>0</v>
      </c>
      <c r="C618">
        <v>0.09659863945578201</v>
      </c>
      <c r="D618">
        <v>0.214953271028037</v>
      </c>
      <c r="E618">
        <v>0.109887083448085</v>
      </c>
      <c r="F618">
        <v>0.08129863160719</v>
      </c>
      <c r="G618">
        <v>-0.288739851747264</v>
      </c>
      <c r="H618">
        <v>-0.154604573106775</v>
      </c>
      <c r="I618">
        <v>0.07323568575233001</v>
      </c>
    </row>
    <row r="619" spans="1:9">
      <c r="A619" s="1" t="s">
        <v>631</v>
      </c>
      <c r="B619">
        <f>HYPERLINK("https://www.suredividend.com/sure-analysis-research-database/","Ferro Corp.")</f>
        <v>0</v>
      </c>
      <c r="C619">
        <v>0.013818516812528</v>
      </c>
      <c r="D619">
        <v>0.013818516812528</v>
      </c>
      <c r="E619">
        <v>0.04660009510223401</v>
      </c>
      <c r="F619">
        <v>0.008245533669262001</v>
      </c>
      <c r="G619">
        <v>0.277423099245502</v>
      </c>
      <c r="H619">
        <v>1.492638731596829</v>
      </c>
      <c r="I619">
        <v>0.428293316028552</v>
      </c>
    </row>
    <row r="620" spans="1:9">
      <c r="A620" s="1" t="s">
        <v>632</v>
      </c>
      <c r="B620">
        <f>HYPERLINK("https://www.suredividend.com/sure-analysis-research-database/","Amicus Therapeutics Inc")</f>
        <v>0</v>
      </c>
      <c r="C620">
        <v>-0.033361847733105</v>
      </c>
      <c r="D620">
        <v>0.08653846153846101</v>
      </c>
      <c r="E620">
        <v>-0.006156552330694001</v>
      </c>
      <c r="F620">
        <v>-0.07452907452907401</v>
      </c>
      <c r="G620">
        <v>-0.009640666082383001</v>
      </c>
      <c r="H620">
        <v>-0.511879049676025</v>
      </c>
      <c r="I620">
        <v>-0.20478536242083</v>
      </c>
    </row>
    <row r="621" spans="1:9">
      <c r="A621" s="1" t="s">
        <v>633</v>
      </c>
      <c r="B621">
        <f>HYPERLINK("https://www.suredividend.com/sure-analysis-research-database/","Forestar Group Inc")</f>
        <v>0</v>
      </c>
      <c r="C621">
        <v>0.04376224689745201</v>
      </c>
      <c r="D621">
        <v>0.4331838565022421</v>
      </c>
      <c r="E621">
        <v>0.07176391683433901</v>
      </c>
      <c r="F621">
        <v>0.03698896820246601</v>
      </c>
      <c r="G621">
        <v>-0.208519068845963</v>
      </c>
      <c r="H621">
        <v>-0.248</v>
      </c>
      <c r="I621">
        <v>-0.270319634703196</v>
      </c>
    </row>
    <row r="622" spans="1:9">
      <c r="A622" s="1" t="s">
        <v>634</v>
      </c>
      <c r="B622">
        <f>HYPERLINK("https://www.suredividend.com/sure-analysis-research-database/","Forian Inc.")</f>
        <v>0</v>
      </c>
      <c r="C622">
        <v>-0.076305220883534</v>
      </c>
      <c r="D622">
        <v>-0.30722891566265</v>
      </c>
      <c r="E622">
        <v>-0.577205882352941</v>
      </c>
      <c r="F622">
        <v>-0.157509157509157</v>
      </c>
      <c r="G622">
        <v>-0.708121827411167</v>
      </c>
      <c r="H622">
        <v>-0.8995633187772921</v>
      </c>
      <c r="I622">
        <v>-0.8995633187772921</v>
      </c>
    </row>
    <row r="623" spans="1:9">
      <c r="A623" s="1" t="s">
        <v>635</v>
      </c>
      <c r="B623">
        <f>HYPERLINK("https://www.suredividend.com/sure-analysis-research-database/","FormFactor Inc.")</f>
        <v>0</v>
      </c>
      <c r="C623">
        <v>0.031699070160608</v>
      </c>
      <c r="D623">
        <v>-0.104548789435069</v>
      </c>
      <c r="E623">
        <v>-0.313361462728551</v>
      </c>
      <c r="F623">
        <v>0.09806567701304501</v>
      </c>
      <c r="G623">
        <v>-0.422521883132245</v>
      </c>
      <c r="H623">
        <v>-0.454403218596334</v>
      </c>
      <c r="I623">
        <v>0.4838905775075981</v>
      </c>
    </row>
    <row r="624" spans="1:9">
      <c r="A624" s="1" t="s">
        <v>636</v>
      </c>
      <c r="B624">
        <f>HYPERLINK("https://www.suredividend.com/sure-analysis-research-database/","Forrester Research Inc.")</f>
        <v>0</v>
      </c>
      <c r="C624">
        <v>0.002872737719046</v>
      </c>
      <c r="D624">
        <v>-0.078891820580474</v>
      </c>
      <c r="E624">
        <v>-0.258338644571914</v>
      </c>
      <c r="F624">
        <v>-0.023769574944071</v>
      </c>
      <c r="G624">
        <v>-0.387543859649122</v>
      </c>
      <c r="H624">
        <v>-0.204602415128731</v>
      </c>
      <c r="I624">
        <v>-0.167449691639201</v>
      </c>
    </row>
    <row r="625" spans="1:9">
      <c r="A625" s="1" t="s">
        <v>637</v>
      </c>
      <c r="B625">
        <f>HYPERLINK("https://www.suredividend.com/sure-analysis-research-database/","Fossil Group Inc")</f>
        <v>0</v>
      </c>
      <c r="C625">
        <v>0.071583514099783</v>
      </c>
      <c r="D625">
        <v>0.368421052631579</v>
      </c>
      <c r="E625">
        <v>-0.152658662092624</v>
      </c>
      <c r="F625">
        <v>0.146171693735499</v>
      </c>
      <c r="G625">
        <v>-0.526366251198465</v>
      </c>
      <c r="H625">
        <v>-0.4961754207037221</v>
      </c>
      <c r="I625">
        <v>-0.391625615763546</v>
      </c>
    </row>
    <row r="626" spans="1:9">
      <c r="A626" s="1" t="s">
        <v>638</v>
      </c>
      <c r="B626">
        <f>HYPERLINK("https://www.suredividend.com/sure-analysis-research-database/","Fox Factory Holding Corp")</f>
        <v>0</v>
      </c>
      <c r="C626">
        <v>-0.000300210147103</v>
      </c>
      <c r="D626">
        <v>0.214146815751094</v>
      </c>
      <c r="E626">
        <v>0.127666779546224</v>
      </c>
      <c r="F626">
        <v>0.09503452811575101</v>
      </c>
      <c r="G626">
        <v>-0.375039099155458</v>
      </c>
      <c r="H626">
        <v>-0.16078629032258</v>
      </c>
      <c r="I626">
        <v>1.642857142857143</v>
      </c>
    </row>
    <row r="627" spans="1:9">
      <c r="A627" s="1" t="s">
        <v>639</v>
      </c>
      <c r="B627">
        <f>HYPERLINK("https://www.suredividend.com/sure-analysis-research-database/","Farmland Partners Inc")</f>
        <v>0</v>
      </c>
      <c r="C627">
        <v>-0.025496015517281</v>
      </c>
      <c r="D627">
        <v>-0.027760507336483</v>
      </c>
      <c r="E627">
        <v>-0.110608710489271</v>
      </c>
      <c r="F627">
        <v>0.004012841091492</v>
      </c>
      <c r="G627">
        <v>0.08974023937699201</v>
      </c>
      <c r="H627">
        <v>0.413239945774966</v>
      </c>
      <c r="I627">
        <v>0.6590411776407401</v>
      </c>
    </row>
    <row r="628" spans="1:9">
      <c r="A628" s="1" t="s">
        <v>640</v>
      </c>
      <c r="B628">
        <f>HYPERLINK("https://www.suredividend.com/sure-analysis-research-database/","First Bank (NJ)")</f>
        <v>0</v>
      </c>
      <c r="C628">
        <v>-0.105858854860186</v>
      </c>
      <c r="D628">
        <v>-0.024514254585073</v>
      </c>
      <c r="E628">
        <v>-0.02637416810451</v>
      </c>
      <c r="F628">
        <v>-0.023982558139534</v>
      </c>
      <c r="G628">
        <v>-0.07754019877875301</v>
      </c>
      <c r="H628">
        <v>0.45030831200527</v>
      </c>
      <c r="I628">
        <v>0.000446960667461</v>
      </c>
    </row>
    <row r="629" spans="1:9">
      <c r="A629" s="1" t="s">
        <v>641</v>
      </c>
      <c r="B629">
        <f>HYPERLINK("https://www.suredividend.com/sure-analysis-research-database/","Republic First Bancorp, Inc.")</f>
        <v>0</v>
      </c>
      <c r="C629">
        <v>-0.015503875968992</v>
      </c>
      <c r="D629">
        <v>-0.127147766323024</v>
      </c>
      <c r="E629">
        <v>-0.371287128712871</v>
      </c>
      <c r="F629">
        <v>0.181395348837209</v>
      </c>
      <c r="G629">
        <v>-0.347043701799485</v>
      </c>
      <c r="H629">
        <v>-0.153333333333333</v>
      </c>
      <c r="I629">
        <v>-0.7029239766081871</v>
      </c>
    </row>
    <row r="630" spans="1:9">
      <c r="A630" s="1" t="s">
        <v>642</v>
      </c>
      <c r="B630">
        <f>HYPERLINK("https://www.suredividend.com/sure-analysis-research-database/","Whole Earth Brands Inc")</f>
        <v>0</v>
      </c>
      <c r="C630">
        <v>-0.109540636042402</v>
      </c>
      <c r="D630">
        <v>0.058823529411764</v>
      </c>
      <c r="E630">
        <v>-0.376237623762376</v>
      </c>
      <c r="F630">
        <v>-0.07125307125307101</v>
      </c>
      <c r="G630">
        <v>-0.6257425742574251</v>
      </c>
      <c r="H630">
        <v>-0.664</v>
      </c>
      <c r="I630">
        <v>-0.6103092783505151</v>
      </c>
    </row>
    <row r="631" spans="1:9">
      <c r="A631" s="1" t="s">
        <v>643</v>
      </c>
      <c r="B631">
        <f>HYPERLINK("https://www.suredividend.com/sure-analysis-research-database/","Frequency Therapeutics Inc")</f>
        <v>0</v>
      </c>
      <c r="C631">
        <v>0.63235294117647</v>
      </c>
      <c r="D631">
        <v>0.8296703296703291</v>
      </c>
      <c r="E631">
        <v>0.7619047619047621</v>
      </c>
      <c r="F631">
        <v>-0.135064935064935</v>
      </c>
      <c r="G631">
        <v>-0.391224862888482</v>
      </c>
      <c r="H631">
        <v>-0.907628294036061</v>
      </c>
      <c r="I631">
        <v>-0.756934306569343</v>
      </c>
    </row>
    <row r="632" spans="1:9">
      <c r="A632" s="1" t="s">
        <v>644</v>
      </c>
      <c r="B632">
        <f>HYPERLINK("https://www.suredividend.com/sure-analysis-research-database/","Franchise Group Inc")</f>
        <v>0</v>
      </c>
      <c r="C632">
        <v>0.171780150232241</v>
      </c>
      <c r="D632">
        <v>0.185344827586207</v>
      </c>
      <c r="E632">
        <v>-0.034689242205244</v>
      </c>
      <c r="F632">
        <v>0.256087321578505</v>
      </c>
      <c r="G632">
        <v>-0.386970668021669</v>
      </c>
      <c r="H632">
        <v>0.08582440274214201</v>
      </c>
      <c r="I632">
        <v>1.707692307692307</v>
      </c>
    </row>
    <row r="633" spans="1:9">
      <c r="A633" s="1" t="s">
        <v>645</v>
      </c>
      <c r="B633">
        <f>HYPERLINK("https://www.suredividend.com/sure-analysis-research-database/","Fiesta Restaurant Group Inc")</f>
        <v>0</v>
      </c>
      <c r="C633">
        <v>0.233785822021116</v>
      </c>
      <c r="D633">
        <v>0.226386806596701</v>
      </c>
      <c r="E633">
        <v>0.161931818181818</v>
      </c>
      <c r="F633">
        <v>0.112925170068027</v>
      </c>
      <c r="G633">
        <v>-0.239776951672862</v>
      </c>
      <c r="H633">
        <v>-0.372217958557175</v>
      </c>
      <c r="I633">
        <v>-0.5761658031088081</v>
      </c>
    </row>
    <row r="634" spans="1:9">
      <c r="A634" s="1" t="s">
        <v>646</v>
      </c>
      <c r="B634">
        <f>HYPERLINK("https://www.suredividend.com/sure-analysis-research-database/","First Merchants Corp.")</f>
        <v>0</v>
      </c>
      <c r="C634">
        <v>-0.008101024541338001</v>
      </c>
      <c r="D634">
        <v>0.055728143029227</v>
      </c>
      <c r="E634">
        <v>0.163590219469382</v>
      </c>
      <c r="F634">
        <v>0.012648990513257</v>
      </c>
      <c r="G634">
        <v>-0.058760222388528</v>
      </c>
      <c r="H634">
        <v>0.09845166601581001</v>
      </c>
      <c r="I634">
        <v>0.123437833111596</v>
      </c>
    </row>
    <row r="635" spans="1:9">
      <c r="A635" s="1" t="s">
        <v>647</v>
      </c>
      <c r="B635">
        <f>HYPERLINK("https://www.suredividend.com/sure-analysis-research-database/","Frontline Plc")</f>
        <v>0</v>
      </c>
      <c r="C635">
        <v>-0.116913484021823</v>
      </c>
      <c r="D635">
        <v>0.04040404040404001</v>
      </c>
      <c r="E635">
        <v>0.374049504590271</v>
      </c>
      <c r="F635">
        <v>-0.066721581548599</v>
      </c>
      <c r="G635">
        <v>0.5320334261838441</v>
      </c>
      <c r="H635">
        <v>0.736292028074907</v>
      </c>
      <c r="I635">
        <v>1.914244559905344</v>
      </c>
    </row>
    <row r="636" spans="1:9">
      <c r="A636" s="1" t="s">
        <v>648</v>
      </c>
      <c r="B636">
        <f>HYPERLINK("https://www.suredividend.com/sure-analysis-research-database/","JFrog Ltd")</f>
        <v>0</v>
      </c>
      <c r="C636">
        <v>-0.025401069518716</v>
      </c>
      <c r="D636">
        <v>-0.072912250953793</v>
      </c>
      <c r="E636">
        <v>-0.06418485237483901</v>
      </c>
      <c r="F636">
        <v>0.025316455696202</v>
      </c>
      <c r="G636">
        <v>-0.221153846153846</v>
      </c>
      <c r="H636">
        <v>-0.650583160249241</v>
      </c>
      <c r="I636">
        <v>-0.6624479086278741</v>
      </c>
    </row>
    <row r="637" spans="1:9">
      <c r="A637" s="1" t="s">
        <v>649</v>
      </c>
      <c r="B637">
        <f>HYPERLINK("https://www.suredividend.com/sure-analysis-research-database/","FRP Holdings Inc")</f>
        <v>0</v>
      </c>
      <c r="C637">
        <v>-0.08072126727334</v>
      </c>
      <c r="D637">
        <v>-0.005650747356908001</v>
      </c>
      <c r="E637">
        <v>-0.107931316434995</v>
      </c>
      <c r="F637">
        <v>0.012810991459339</v>
      </c>
      <c r="G637">
        <v>-0.061424638678596</v>
      </c>
      <c r="H637">
        <v>0.177422836175264</v>
      </c>
      <c r="I637">
        <v>0.225842696629213</v>
      </c>
    </row>
    <row r="638" spans="1:9">
      <c r="A638" s="1" t="s">
        <v>650</v>
      </c>
      <c r="B638">
        <f>HYPERLINK("https://www.suredividend.com/sure-analysis-research-database/","Primis Financial Corp")</f>
        <v>0</v>
      </c>
      <c r="C638">
        <v>-0.021523178807946</v>
      </c>
      <c r="D638">
        <v>-0.003926988353867</v>
      </c>
      <c r="E638">
        <v>-0.07847035434452</v>
      </c>
      <c r="F638">
        <v>-0.00253164556962</v>
      </c>
      <c r="G638">
        <v>-0.228489745832408</v>
      </c>
      <c r="H638">
        <v>-0.06015560706235001</v>
      </c>
      <c r="I638">
        <v>-0.237183127678248</v>
      </c>
    </row>
    <row r="639" spans="1:9">
      <c r="A639" s="1" t="s">
        <v>651</v>
      </c>
      <c r="B639">
        <f>HYPERLINK("https://www.suredividend.com/sure-analysis-research-database/","Five Star Bancorp")</f>
        <v>0</v>
      </c>
      <c r="C639">
        <v>0.0018539117538</v>
      </c>
      <c r="D639">
        <v>-0.037995955453017</v>
      </c>
      <c r="E639">
        <v>0.069692315001029</v>
      </c>
      <c r="F639">
        <v>-0.008076358296622</v>
      </c>
      <c r="G639">
        <v>-0.121543638343872</v>
      </c>
      <c r="H639">
        <v>0.15336019669444</v>
      </c>
      <c r="I639">
        <v>0.15336019669444</v>
      </c>
    </row>
    <row r="640" spans="1:9">
      <c r="A640" s="1" t="s">
        <v>652</v>
      </c>
      <c r="B640">
        <f>HYPERLINK("https://www.suredividend.com/sure-analysis-research-database/","FS Bancorp Inc")</f>
        <v>0</v>
      </c>
      <c r="C640">
        <v>-0.029644848840622</v>
      </c>
      <c r="D640">
        <v>0.223529063441425</v>
      </c>
      <c r="E640">
        <v>0.183758235462618</v>
      </c>
      <c r="F640">
        <v>-0.011363636363636</v>
      </c>
      <c r="G640">
        <v>-0.041391808626313</v>
      </c>
      <c r="H640">
        <v>0.168259801756276</v>
      </c>
      <c r="I640">
        <v>0.315470103494789</v>
      </c>
    </row>
    <row r="641" spans="1:9">
      <c r="A641" s="1" t="s">
        <v>653</v>
      </c>
      <c r="B641">
        <f>HYPERLINK("https://www.suredividend.com/sure-analysis-research-database/","Franklin Street Properties Corp.")</f>
        <v>0</v>
      </c>
      <c r="C641">
        <v>-0.05762711864406701</v>
      </c>
      <c r="D641">
        <v>0.13003536441608</v>
      </c>
      <c r="E641">
        <v>-0.255649566241833</v>
      </c>
      <c r="F641">
        <v>0.018315018315018</v>
      </c>
      <c r="G641">
        <v>-0.5278933514477371</v>
      </c>
      <c r="H641">
        <v>-0.254911420224598</v>
      </c>
      <c r="I641">
        <v>-0.6305451452568901</v>
      </c>
    </row>
    <row r="642" spans="1:9">
      <c r="A642" s="1" t="s">
        <v>654</v>
      </c>
      <c r="B642">
        <f>HYPERLINK("https://www.suredividend.com/sure-analysis-research-database/","Fisker Inc")</f>
        <v>0</v>
      </c>
      <c r="C642">
        <v>0.012396694214876</v>
      </c>
      <c r="D642">
        <v>-0.002713704206241</v>
      </c>
      <c r="E642">
        <v>-0.21137339055794</v>
      </c>
      <c r="F642">
        <v>0.011004126547455</v>
      </c>
      <c r="G642">
        <v>-0.5474137931034481</v>
      </c>
      <c r="H642">
        <v>-0.5177165354330701</v>
      </c>
      <c r="I642">
        <v>-0.234375</v>
      </c>
    </row>
    <row r="643" spans="1:9">
      <c r="A643" s="1" t="s">
        <v>655</v>
      </c>
      <c r="B643">
        <f>HYPERLINK("https://www.suredividend.com/sure-analysis-research-database/","Federal Signal Corp.")</f>
        <v>0</v>
      </c>
      <c r="C643">
        <v>0.06720665499124301</v>
      </c>
      <c r="D643">
        <v>0.186856206588451</v>
      </c>
      <c r="E643">
        <v>0.372872048325096</v>
      </c>
      <c r="F643">
        <v>0.04906391220142001</v>
      </c>
      <c r="G643">
        <v>0.174342247895819</v>
      </c>
      <c r="H643">
        <v>0.426669202967472</v>
      </c>
      <c r="I643">
        <v>1.666790661035863</v>
      </c>
    </row>
    <row r="644" spans="1:9">
      <c r="A644" s="1" t="s">
        <v>656</v>
      </c>
      <c r="B644">
        <f>HYPERLINK("https://www.suredividend.com/sure-analysis-research-database/","FTC Solar Inc")</f>
        <v>0</v>
      </c>
      <c r="C644">
        <v>-0.022813688212927</v>
      </c>
      <c r="D644">
        <v>-0.082142857142857</v>
      </c>
      <c r="E644">
        <v>-0.396713615023474</v>
      </c>
      <c r="F644">
        <v>-0.04104477611940301</v>
      </c>
      <c r="G644">
        <v>-0.6226138032305431</v>
      </c>
      <c r="H644">
        <v>-0.819775596072931</v>
      </c>
      <c r="I644">
        <v>-0.819775596072931</v>
      </c>
    </row>
    <row r="645" spans="1:9">
      <c r="A645" s="1" t="s">
        <v>657</v>
      </c>
      <c r="B645">
        <f>HYPERLINK("https://www.suredividend.com/sure-analysis-research-database/","Fathom Holdings Inc")</f>
        <v>0</v>
      </c>
      <c r="C645">
        <v>-0.089500860585197</v>
      </c>
      <c r="D645">
        <v>0.123142250530785</v>
      </c>
      <c r="E645">
        <v>-0.384167636786961</v>
      </c>
      <c r="F645">
        <v>0.244705882352941</v>
      </c>
      <c r="G645">
        <v>-0.7064372918978911</v>
      </c>
      <c r="H645">
        <v>-0.859830418653948</v>
      </c>
      <c r="I645">
        <v>-0.472582253240279</v>
      </c>
    </row>
    <row r="646" spans="1:9">
      <c r="A646" s="1" t="s">
        <v>658</v>
      </c>
      <c r="B646">
        <f>HYPERLINK("https://www.suredividend.com/sure-analysis-research-database/","fuboTV Inc")</f>
        <v>0</v>
      </c>
      <c r="C646">
        <v>-0.242798353909465</v>
      </c>
      <c r="D646">
        <v>-0.5145118733509231</v>
      </c>
      <c r="E646">
        <v>-0.347517730496453</v>
      </c>
      <c r="F646">
        <v>0.05747126436781601</v>
      </c>
      <c r="G646">
        <v>-0.8682891911238361</v>
      </c>
      <c r="H646">
        <v>-0.9326254119370191</v>
      </c>
      <c r="I646">
        <v>3.279069767441861</v>
      </c>
    </row>
    <row r="647" spans="1:9">
      <c r="A647" s="1" t="s">
        <v>659</v>
      </c>
      <c r="B647">
        <f>HYPERLINK("https://www.suredividend.com/sure-analysis-FUL/","H.B. Fuller Company")</f>
        <v>0</v>
      </c>
      <c r="C647">
        <v>-0.05415584415584401</v>
      </c>
      <c r="D647">
        <v>0.130235467015529</v>
      </c>
      <c r="E647">
        <v>0.218121119674587</v>
      </c>
      <c r="F647">
        <v>0.016894722144652</v>
      </c>
      <c r="G647">
        <v>-0.040369569055706</v>
      </c>
      <c r="H647">
        <v>0.35140400912193</v>
      </c>
      <c r="I647">
        <v>0.442695302672839</v>
      </c>
    </row>
    <row r="648" spans="1:9">
      <c r="A648" s="1" t="s">
        <v>660</v>
      </c>
      <c r="B648">
        <f>HYPERLINK("https://www.suredividend.com/sure-analysis-research-database/","Fulcrum Therapeutics Inc")</f>
        <v>0</v>
      </c>
      <c r="C648">
        <v>0.871559633027522</v>
      </c>
      <c r="D648">
        <v>0.284634760705289</v>
      </c>
      <c r="E648">
        <v>0.7200674536256321</v>
      </c>
      <c r="F648">
        <v>0.401098901098901</v>
      </c>
      <c r="G648">
        <v>-0.33026920551543</v>
      </c>
      <c r="H648">
        <v>-0.128949615713065</v>
      </c>
      <c r="I648">
        <v>-0.244444444444444</v>
      </c>
    </row>
    <row r="649" spans="1:9">
      <c r="A649" s="1" t="s">
        <v>661</v>
      </c>
      <c r="B649">
        <f>HYPERLINK("https://www.suredividend.com/sure-analysis-research-database/","Fulton Financial Corp.")</f>
        <v>0</v>
      </c>
      <c r="C649">
        <v>-0.015185730457683</v>
      </c>
      <c r="D649">
        <v>0.041304887124782</v>
      </c>
      <c r="E649">
        <v>0.175095533377192</v>
      </c>
      <c r="F649">
        <v>-0.002376708259061</v>
      </c>
      <c r="G649">
        <v>-0.043392055425146</v>
      </c>
      <c r="H649">
        <v>0.315645128430158</v>
      </c>
      <c r="I649">
        <v>0.113646312829152</v>
      </c>
    </row>
    <row r="650" spans="1:9">
      <c r="A650" s="1" t="s">
        <v>662</v>
      </c>
      <c r="B650">
        <f>HYPERLINK("https://www.suredividend.com/sure-analysis-research-database/","Arcimoto Inc")</f>
        <v>0</v>
      </c>
      <c r="C650">
        <v>-0.152019002375296</v>
      </c>
      <c r="D650">
        <v>-0.8215</v>
      </c>
      <c r="E650">
        <v>-0.9440438871473351</v>
      </c>
      <c r="F650">
        <v>0.08181818181818101</v>
      </c>
      <c r="G650">
        <v>-0.9762000000000001</v>
      </c>
      <c r="H650">
        <v>-0.9880120886501</v>
      </c>
      <c r="I650">
        <v>-0.954113110539845</v>
      </c>
    </row>
    <row r="651" spans="1:9">
      <c r="A651" s="1" t="s">
        <v>663</v>
      </c>
      <c r="B651">
        <f>HYPERLINK("https://www.suredividend.com/sure-analysis-research-database/","Forward Air Corp.")</f>
        <v>0</v>
      </c>
      <c r="C651">
        <v>-0.00602523065336</v>
      </c>
      <c r="D651">
        <v>0.10300186166823</v>
      </c>
      <c r="E651">
        <v>0.1507783394698</v>
      </c>
      <c r="F651">
        <v>0.006578320144913</v>
      </c>
      <c r="G651">
        <v>-0.06907026059507901</v>
      </c>
      <c r="H651">
        <v>0.360114807190392</v>
      </c>
      <c r="I651">
        <v>0.873015309833419</v>
      </c>
    </row>
    <row r="652" spans="1:9">
      <c r="A652" s="1" t="s">
        <v>664</v>
      </c>
      <c r="B652">
        <f>HYPERLINK("https://www.suredividend.com/sure-analysis-research-database/","First Watch Restaurant Group Inc")</f>
        <v>0</v>
      </c>
      <c r="C652">
        <v>-0.035786630654962</v>
      </c>
      <c r="D652">
        <v>-0.08461538461538401</v>
      </c>
      <c r="E652">
        <v>-0.041610738255033</v>
      </c>
      <c r="F652">
        <v>0.055432372505543</v>
      </c>
      <c r="G652">
        <v>-0.066666666666666</v>
      </c>
      <c r="H652">
        <v>-0.3547220967013101</v>
      </c>
      <c r="I652">
        <v>-0.3547220967013101</v>
      </c>
    </row>
    <row r="653" spans="1:9">
      <c r="A653" s="1" t="s">
        <v>665</v>
      </c>
      <c r="B653">
        <f>HYPERLINK("https://www.suredividend.com/sure-analysis-research-database/","F45 Training Holdings Inc")</f>
        <v>0</v>
      </c>
      <c r="C653">
        <v>0.06164383561643801</v>
      </c>
      <c r="D653">
        <v>-0.101449275362318</v>
      </c>
      <c r="E653">
        <v>-0.164420485175202</v>
      </c>
      <c r="F653">
        <v>0.087719298245614</v>
      </c>
      <c r="G653">
        <v>-0.7192028985507241</v>
      </c>
      <c r="H653">
        <v>-0.808641975308642</v>
      </c>
      <c r="I653">
        <v>-0.808641975308642</v>
      </c>
    </row>
    <row r="654" spans="1:9">
      <c r="A654" s="1" t="s">
        <v>666</v>
      </c>
      <c r="B654">
        <f>HYPERLINK("https://www.suredividend.com/sure-analysis-research-database/","German American Bancorp Inc")</f>
        <v>0</v>
      </c>
      <c r="C654">
        <v>-0.012263396427619</v>
      </c>
      <c r="D654">
        <v>0.040429313990614</v>
      </c>
      <c r="E654">
        <v>0.08002693508469601</v>
      </c>
      <c r="F654">
        <v>-0.006702412868632</v>
      </c>
      <c r="G654">
        <v>-0.078456781986006</v>
      </c>
      <c r="H654">
        <v>0.119913913230097</v>
      </c>
      <c r="I654">
        <v>0.177723385994468</v>
      </c>
    </row>
    <row r="655" spans="1:9">
      <c r="A655" s="1" t="s">
        <v>667</v>
      </c>
      <c r="B655">
        <f>HYPERLINK("https://www.suredividend.com/sure-analysis-research-database/","GAN Limited")</f>
        <v>0</v>
      </c>
      <c r="C655">
        <v>0.179856115107913</v>
      </c>
      <c r="D655">
        <v>-0.261261261261261</v>
      </c>
      <c r="E655">
        <v>-0.4726688102893891</v>
      </c>
      <c r="F655">
        <v>0.093333333333333</v>
      </c>
      <c r="G655">
        <v>-0.807285546415981</v>
      </c>
      <c r="H655">
        <v>-0.9244587747581761</v>
      </c>
      <c r="I655">
        <v>-0.8762264150943391</v>
      </c>
    </row>
    <row r="656" spans="1:9">
      <c r="A656" s="1" t="s">
        <v>668</v>
      </c>
      <c r="B656">
        <f>HYPERLINK("https://www.suredividend.com/sure-analysis-research-database/","Gatos Silver Inc")</f>
        <v>0</v>
      </c>
      <c r="C656">
        <v>0.081885856079404</v>
      </c>
      <c r="D656">
        <v>0.5352112676056341</v>
      </c>
      <c r="E656">
        <v>0.651515151515151</v>
      </c>
      <c r="F656">
        <v>0.06601466992665</v>
      </c>
      <c r="G656">
        <v>-0.5444096133751301</v>
      </c>
      <c r="H656">
        <v>-0.6819839533187451</v>
      </c>
      <c r="I656">
        <v>-0.339393939393939</v>
      </c>
    </row>
    <row r="657" spans="1:9">
      <c r="A657" s="1" t="s">
        <v>669</v>
      </c>
      <c r="B657">
        <f>HYPERLINK("https://www.suredividend.com/sure-analysis-GATX/","GATX Corp.")</f>
        <v>0</v>
      </c>
      <c r="C657">
        <v>0.012472864606443</v>
      </c>
      <c r="D657">
        <v>0.226995914095812</v>
      </c>
      <c r="E657">
        <v>0.212811497554238</v>
      </c>
      <c r="F657">
        <v>0.036392702651871</v>
      </c>
      <c r="G657">
        <v>0.093164473592851</v>
      </c>
      <c r="H657">
        <v>0.312766147523897</v>
      </c>
      <c r="I657">
        <v>0.923033301053035</v>
      </c>
    </row>
    <row r="658" spans="1:9">
      <c r="A658" s="1" t="s">
        <v>670</v>
      </c>
      <c r="B658">
        <f>HYPERLINK("https://www.suredividend.com/sure-analysis-research-database/","Glacier Bancorp, Inc.")</f>
        <v>0</v>
      </c>
      <c r="C658">
        <v>-0.106567992599444</v>
      </c>
      <c r="D658">
        <v>-0.018719315928081</v>
      </c>
      <c r="E658">
        <v>0.035892639563419</v>
      </c>
      <c r="F658">
        <v>-0.022865236746256</v>
      </c>
      <c r="G658">
        <v>-0.141717099007349</v>
      </c>
      <c r="H658">
        <v>0.08187186909103901</v>
      </c>
      <c r="I658">
        <v>0.4819429441225571</v>
      </c>
    </row>
    <row r="659" spans="1:9">
      <c r="A659" s="1" t="s">
        <v>671</v>
      </c>
      <c r="B659">
        <f>HYPERLINK("https://www.suredividend.com/sure-analysis-research-database/","Generation Bio Co")</f>
        <v>0</v>
      </c>
      <c r="C659">
        <v>-0.008565310492505</v>
      </c>
      <c r="D659">
        <v>-0.145756457564575</v>
      </c>
      <c r="E659">
        <v>-0.372628726287262</v>
      </c>
      <c r="F659">
        <v>0.178117048346055</v>
      </c>
      <c r="G659">
        <v>-0.307922272047832</v>
      </c>
      <c r="H659">
        <v>-0.83422842821339</v>
      </c>
      <c r="I659">
        <v>-0.8124746861077351</v>
      </c>
    </row>
    <row r="660" spans="1:9">
      <c r="A660" s="1" t="s">
        <v>672</v>
      </c>
      <c r="B660">
        <f>HYPERLINK("https://www.suredividend.com/sure-analysis-research-database/","Gamco Investors Inc")</f>
        <v>0</v>
      </c>
      <c r="C660">
        <v>-0.260674696866621</v>
      </c>
      <c r="D660">
        <v>-0.298831544041254</v>
      </c>
      <c r="E660">
        <v>-0.313037415756449</v>
      </c>
      <c r="F660">
        <v>-0.404838605759938</v>
      </c>
      <c r="G660">
        <v>-0.375609920958468</v>
      </c>
      <c r="H660">
        <v>0.428847641144624</v>
      </c>
      <c r="I660">
        <v>-0.429449368456811</v>
      </c>
    </row>
    <row r="661" spans="1:9">
      <c r="A661" s="1" t="s">
        <v>673</v>
      </c>
      <c r="B661">
        <f>HYPERLINK("https://www.suredividend.com/sure-analysis-research-database/","GreenBox POS")</f>
        <v>0</v>
      </c>
      <c r="C661">
        <v>0.020674769964784</v>
      </c>
      <c r="D661">
        <v>0.155924353531454</v>
      </c>
      <c r="E661">
        <v>-0.7005</v>
      </c>
      <c r="F661">
        <v>-0.7860714285714281</v>
      </c>
      <c r="G661">
        <v>-0.8741596638655461</v>
      </c>
      <c r="H661">
        <v>-0.559558823529411</v>
      </c>
      <c r="I661">
        <v>2.220430107526881</v>
      </c>
    </row>
    <row r="662" spans="1:9">
      <c r="A662" s="1" t="s">
        <v>674</v>
      </c>
      <c r="B662">
        <f>HYPERLINK("https://www.suredividend.com/sure-analysis-research-database/","Global Blood Therapeutics Inc.")</f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>
      <c r="A663" s="1" t="s">
        <v>675</v>
      </c>
      <c r="B663">
        <f>HYPERLINK("https://www.suredividend.com/sure-analysis-research-database/","Greenbrier Cos., Inc.")</f>
        <v>0</v>
      </c>
      <c r="C663">
        <v>-0.222410865874363</v>
      </c>
      <c r="D663">
        <v>0.110684477497322</v>
      </c>
      <c r="E663">
        <v>-0.144095881195026</v>
      </c>
      <c r="F663">
        <v>-0.180435430957351</v>
      </c>
      <c r="G663">
        <v>-0.367165856433238</v>
      </c>
      <c r="H663">
        <v>-0.183862575287786</v>
      </c>
      <c r="I663">
        <v>-0.357448500011691</v>
      </c>
    </row>
    <row r="664" spans="1:9">
      <c r="A664" s="1" t="s">
        <v>676</v>
      </c>
      <c r="B664">
        <f>HYPERLINK("https://www.suredividend.com/sure-analysis-research-database/","Gannett Co Inc.")</f>
        <v>0</v>
      </c>
      <c r="C664">
        <v>-0.05668016194331901</v>
      </c>
      <c r="D664">
        <v>0.563758389261745</v>
      </c>
      <c r="E664">
        <v>-0.110687022900763</v>
      </c>
      <c r="F664">
        <v>0.147783251231527</v>
      </c>
      <c r="G664">
        <v>-0.5386138613861381</v>
      </c>
      <c r="H664">
        <v>-0.318713450292397</v>
      </c>
      <c r="I664">
        <v>-0.8172190625612861</v>
      </c>
    </row>
    <row r="665" spans="1:9">
      <c r="A665" s="1" t="s">
        <v>677</v>
      </c>
      <c r="B665">
        <f>HYPERLINK("https://www.suredividend.com/sure-analysis-research-database/","GCM Grosvenor Inc")</f>
        <v>0</v>
      </c>
      <c r="C665">
        <v>-0.091753774680603</v>
      </c>
      <c r="D665">
        <v>0.04877754382200301</v>
      </c>
      <c r="E665">
        <v>0.155591021264648</v>
      </c>
      <c r="F665">
        <v>0.027595269382391</v>
      </c>
      <c r="G665">
        <v>-0.181168980754329</v>
      </c>
      <c r="H665">
        <v>-0.363653378251918</v>
      </c>
      <c r="I665">
        <v>-0.226462500247294</v>
      </c>
    </row>
    <row r="666" spans="1:9">
      <c r="A666" s="1" t="s">
        <v>678</v>
      </c>
      <c r="B666">
        <f>HYPERLINK("https://www.suredividend.com/sure-analysis-research-database/","Genesco Inc.")</f>
        <v>0</v>
      </c>
      <c r="C666">
        <v>0.039710348049521</v>
      </c>
      <c r="D666">
        <v>0.07304725168756</v>
      </c>
      <c r="E666">
        <v>-0.112285600319106</v>
      </c>
      <c r="F666">
        <v>-0.032811820947414</v>
      </c>
      <c r="G666">
        <v>-0.26063122923588</v>
      </c>
      <c r="H666">
        <v>0.3818689847873331</v>
      </c>
      <c r="I666">
        <v>0.320771513353115</v>
      </c>
    </row>
    <row r="667" spans="1:9">
      <c r="A667" s="1" t="s">
        <v>679</v>
      </c>
      <c r="B667">
        <f>HYPERLINK("https://www.suredividend.com/sure-analysis-research-database/","GCP Applied Technologies Inc")</f>
        <v>0</v>
      </c>
      <c r="C667">
        <v>0.012654223347042</v>
      </c>
      <c r="D667">
        <v>0.02137843012125</v>
      </c>
      <c r="E667">
        <v>0.018777848504137</v>
      </c>
      <c r="F667">
        <v>0.011054958938723</v>
      </c>
      <c r="G667">
        <v>0.4425416854438931</v>
      </c>
      <c r="H667">
        <v>0.5691176470588231</v>
      </c>
      <c r="I667">
        <v>0.029260450160771</v>
      </c>
    </row>
    <row r="668" spans="1:9">
      <c r="A668" s="1" t="s">
        <v>680</v>
      </c>
      <c r="B668">
        <f>HYPERLINK("https://www.suredividend.com/sure-analysis-research-database/","Golden Entertainment Inc")</f>
        <v>0</v>
      </c>
      <c r="C668">
        <v>-0.1033382425135</v>
      </c>
      <c r="D668">
        <v>-0.04321634363541101</v>
      </c>
      <c r="E668">
        <v>-0.07775814188336201</v>
      </c>
      <c r="F668">
        <v>-0.023262032085561</v>
      </c>
      <c r="G668">
        <v>-0.246959389816532</v>
      </c>
      <c r="H668">
        <v>0.799507389162561</v>
      </c>
      <c r="I668">
        <v>0.136236391912908</v>
      </c>
    </row>
    <row r="669" spans="1:9">
      <c r="A669" s="1" t="s">
        <v>681</v>
      </c>
      <c r="B669">
        <f>HYPERLINK("https://www.suredividend.com/sure-analysis-research-database/","Green Dot Corp.")</f>
        <v>0</v>
      </c>
      <c r="C669">
        <v>-0.06714364336818901</v>
      </c>
      <c r="D669">
        <v>-0.132548618219037</v>
      </c>
      <c r="E669">
        <v>-0.340723453908984</v>
      </c>
      <c r="F669">
        <v>0.07142857142857101</v>
      </c>
      <c r="G669">
        <v>-0.5295587010824311</v>
      </c>
      <c r="H669">
        <v>-0.7156517362858581</v>
      </c>
      <c r="I669">
        <v>-0.7256393654904501</v>
      </c>
    </row>
    <row r="670" spans="1:9">
      <c r="A670" s="1" t="s">
        <v>682</v>
      </c>
      <c r="B670">
        <f>HYPERLINK("https://www.suredividend.com/sure-analysis-research-database/","Grid Dynamics Holdings Inc")</f>
        <v>0</v>
      </c>
      <c r="C670">
        <v>-0.031774051191526</v>
      </c>
      <c r="D670">
        <v>-0.348187759952465</v>
      </c>
      <c r="E670">
        <v>-0.391569606211869</v>
      </c>
      <c r="F670">
        <v>-0.022281639928698</v>
      </c>
      <c r="G670">
        <v>-0.661105962310781</v>
      </c>
      <c r="H670">
        <v>-0.109577922077922</v>
      </c>
      <c r="I670">
        <v>0.154736842105263</v>
      </c>
    </row>
    <row r="671" spans="1:9">
      <c r="A671" s="1" t="s">
        <v>683</v>
      </c>
      <c r="B671">
        <f>HYPERLINK("https://www.suredividend.com/sure-analysis-GEF/","Greif Inc")</f>
        <v>0</v>
      </c>
      <c r="C671">
        <v>0.015898395076625</v>
      </c>
      <c r="D671">
        <v>0.12693825850809</v>
      </c>
      <c r="E671">
        <v>0.122829363279895</v>
      </c>
      <c r="F671">
        <v>0.004324485535341</v>
      </c>
      <c r="G671">
        <v>0.153326495000539</v>
      </c>
      <c r="H671">
        <v>0.404219120731569</v>
      </c>
      <c r="I671">
        <v>0.31831865924937</v>
      </c>
    </row>
    <row r="672" spans="1:9">
      <c r="A672" s="1" t="s">
        <v>684</v>
      </c>
      <c r="B672">
        <f>HYPERLINK("https://www.suredividend.com/sure-analysis-research-database/","Greif Inc")</f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>
      <c r="A673" s="1" t="s">
        <v>685</v>
      </c>
      <c r="B673">
        <f>HYPERLINK("https://www.suredividend.com/sure-analysis-research-database/","Geo Group, Inc.")</f>
        <v>0</v>
      </c>
      <c r="C673">
        <v>-0.023572076155938</v>
      </c>
      <c r="D673">
        <v>0.294471153846153</v>
      </c>
      <c r="E673">
        <v>0.6801872074882991</v>
      </c>
      <c r="F673">
        <v>-0.016438356164383</v>
      </c>
      <c r="G673">
        <v>0.341220423412204</v>
      </c>
      <c r="H673">
        <v>0.27771648218671</v>
      </c>
      <c r="I673">
        <v>-0.356034560076534</v>
      </c>
    </row>
    <row r="674" spans="1:9">
      <c r="A674" s="1" t="s">
        <v>686</v>
      </c>
      <c r="B674">
        <f>HYPERLINK("https://www.suredividend.com/sure-analysis-research-database/","Geron Corp.")</f>
        <v>0</v>
      </c>
      <c r="C674">
        <v>0.293859649122807</v>
      </c>
      <c r="D674">
        <v>0.359447004608295</v>
      </c>
      <c r="E674">
        <v>0.5284974093264251</v>
      </c>
      <c r="F674">
        <v>0.21900826446281</v>
      </c>
      <c r="G674">
        <v>1.521367521367521</v>
      </c>
      <c r="H674">
        <v>0.7251461988304091</v>
      </c>
      <c r="I674">
        <v>0.56084656084656</v>
      </c>
    </row>
    <row r="675" spans="1:9">
      <c r="A675" s="1" t="s">
        <v>687</v>
      </c>
      <c r="B675">
        <f>HYPERLINK("https://www.suredividend.com/sure-analysis-research-database/","Guess Inc.")</f>
        <v>0</v>
      </c>
      <c r="C675">
        <v>0.067404910929224</v>
      </c>
      <c r="D675">
        <v>0.4553069141848111</v>
      </c>
      <c r="E675">
        <v>0.261214110579521</v>
      </c>
      <c r="F675">
        <v>0.07153214113098101</v>
      </c>
      <c r="G675">
        <v>0.012282544176065</v>
      </c>
      <c r="H675">
        <v>-0.01082426849183</v>
      </c>
      <c r="I675">
        <v>0.580117742648211</v>
      </c>
    </row>
    <row r="676" spans="1:9">
      <c r="A676" s="1" t="s">
        <v>688</v>
      </c>
      <c r="B676">
        <f>HYPERLINK("https://www.suredividend.com/sure-analysis-research-database/","Gevo Inc")</f>
        <v>0</v>
      </c>
      <c r="C676">
        <v>0.06703910614525101</v>
      </c>
      <c r="D676">
        <v>-0.187234042553191</v>
      </c>
      <c r="E676">
        <v>-0.23293172690763</v>
      </c>
      <c r="F676">
        <v>0.005263157894736001</v>
      </c>
      <c r="G676">
        <v>-0.541966426858513</v>
      </c>
      <c r="H676">
        <v>-0.56590909090909</v>
      </c>
      <c r="I676">
        <v>-0.8434426229508191</v>
      </c>
    </row>
    <row r="677" spans="1:9">
      <c r="A677" s="1" t="s">
        <v>689</v>
      </c>
      <c r="B677">
        <f>HYPERLINK("https://www.suredividend.com/sure-analysis-research-database/","Griffon Corp.")</f>
        <v>0</v>
      </c>
      <c r="C677">
        <v>0.110633419317856</v>
      </c>
      <c r="D677">
        <v>0.284925093011997</v>
      </c>
      <c r="E677">
        <v>0.493912547323294</v>
      </c>
      <c r="F677">
        <v>0.082704666107851</v>
      </c>
      <c r="G677">
        <v>0.5678483860265261</v>
      </c>
      <c r="H677">
        <v>0.8873898007890501</v>
      </c>
      <c r="I677">
        <v>1.277576306153276</v>
      </c>
    </row>
    <row r="678" spans="1:9">
      <c r="A678" s="1" t="s">
        <v>690</v>
      </c>
      <c r="B678">
        <f>HYPERLINK("https://www.suredividend.com/sure-analysis-research-database/","Graham Holdings Co.")</f>
        <v>0</v>
      </c>
      <c r="C678">
        <v>0.021596619080895</v>
      </c>
      <c r="D678">
        <v>0.147863515662915</v>
      </c>
      <c r="E678">
        <v>0.09439456096597601</v>
      </c>
      <c r="F678">
        <v>0.016202975786564</v>
      </c>
      <c r="G678">
        <v>-0.016576137748532</v>
      </c>
      <c r="H678">
        <v>0.140365637625974</v>
      </c>
      <c r="I678">
        <v>0.151433365763497</v>
      </c>
    </row>
    <row r="679" spans="1:9">
      <c r="A679" s="1" t="s">
        <v>691</v>
      </c>
      <c r="B679">
        <f>HYPERLINK("https://www.suredividend.com/sure-analysis-research-database/","Greenhill &amp; Co Inc")</f>
        <v>0</v>
      </c>
      <c r="C679">
        <v>0.237603305785124</v>
      </c>
      <c r="D679">
        <v>1.013953097419517</v>
      </c>
      <c r="E679">
        <v>0.468029311570227</v>
      </c>
      <c r="F679">
        <v>0.168780487804878</v>
      </c>
      <c r="G679">
        <v>-0.373905772296114</v>
      </c>
      <c r="H679">
        <v>-0.055830522366886</v>
      </c>
      <c r="I679">
        <v>-0.327472576824188</v>
      </c>
    </row>
    <row r="680" spans="1:9">
      <c r="A680" s="1" t="s">
        <v>692</v>
      </c>
      <c r="B680">
        <f>HYPERLINK("https://www.suredividend.com/sure-analysis-research-database/","Global Industrial Co")</f>
        <v>0</v>
      </c>
      <c r="C680">
        <v>-0.029067420266451</v>
      </c>
      <c r="D680">
        <v>-0.105026365439504</v>
      </c>
      <c r="E680">
        <v>-0.282470806556516</v>
      </c>
      <c r="F680">
        <v>0.022099447513812</v>
      </c>
      <c r="G680">
        <v>-0.348755595150733</v>
      </c>
      <c r="H680">
        <v>-0.375938201015365</v>
      </c>
      <c r="I680">
        <v>-0.07026910007461</v>
      </c>
    </row>
    <row r="681" spans="1:9">
      <c r="A681" s="1" t="s">
        <v>693</v>
      </c>
      <c r="B681">
        <f>HYPERLINK("https://www.suredividend.com/sure-analysis-research-database/","G-III Apparel Group Ltd.")</f>
        <v>0</v>
      </c>
      <c r="C681">
        <v>0.113432835820895</v>
      </c>
      <c r="D681">
        <v>-0.060453400503778</v>
      </c>
      <c r="E681">
        <v>-0.282347282347282</v>
      </c>
      <c r="F681">
        <v>0.088256746900072</v>
      </c>
      <c r="G681">
        <v>-0.45307917888563</v>
      </c>
      <c r="H681">
        <v>-0.445353159851301</v>
      </c>
      <c r="I681">
        <v>-0.616156418832004</v>
      </c>
    </row>
    <row r="682" spans="1:9">
      <c r="A682" s="1" t="s">
        <v>694</v>
      </c>
      <c r="B682">
        <f>HYPERLINK("https://www.suredividend.com/sure-analysis-research-database/","Glaukos Corporation")</f>
        <v>0</v>
      </c>
      <c r="C682">
        <v>-0.017157941047074</v>
      </c>
      <c r="D682">
        <v>-0.192481474787637</v>
      </c>
      <c r="E682">
        <v>-0.08498873643252</v>
      </c>
      <c r="F682">
        <v>0.022893772893772</v>
      </c>
      <c r="G682">
        <v>-0.06035751840168201</v>
      </c>
      <c r="H682">
        <v>-0.428863607311773</v>
      </c>
      <c r="I682">
        <v>0.636030757964115</v>
      </c>
    </row>
    <row r="683" spans="1:9">
      <c r="A683" s="1" t="s">
        <v>695</v>
      </c>
      <c r="B683">
        <f>HYPERLINK("https://www.suredividend.com/sure-analysis-research-database/","Great Lakes Dredge &amp; Dock Corporation")</f>
        <v>0</v>
      </c>
      <c r="C683">
        <v>-0.103293413173652</v>
      </c>
      <c r="D683">
        <v>-0.20345744680851</v>
      </c>
      <c r="E683">
        <v>-0.511817440912795</v>
      </c>
      <c r="F683">
        <v>0.00672268907563</v>
      </c>
      <c r="G683">
        <v>-0.611795204147764</v>
      </c>
      <c r="H683">
        <v>-0.581118881118881</v>
      </c>
      <c r="I683">
        <v>0.222448979591836</v>
      </c>
    </row>
    <row r="684" spans="1:9">
      <c r="A684" s="1" t="s">
        <v>696</v>
      </c>
      <c r="B684">
        <f>HYPERLINK("https://www.suredividend.com/sure-analysis-research-database/","Golar Lng")</f>
        <v>0</v>
      </c>
      <c r="C684">
        <v>-0.096033402922755</v>
      </c>
      <c r="D684">
        <v>-0.154627098789535</v>
      </c>
      <c r="E684">
        <v>-0.038632326820603</v>
      </c>
      <c r="F684">
        <v>-0.05002193944712501</v>
      </c>
      <c r="G684">
        <v>0.598966026587887</v>
      </c>
      <c r="H684">
        <v>0.9364937388193201</v>
      </c>
      <c r="I684">
        <v>-0.238180359480344</v>
      </c>
    </row>
    <row r="685" spans="1:9">
      <c r="A685" s="1" t="s">
        <v>697</v>
      </c>
      <c r="B685">
        <f>HYPERLINK("https://www.suredividend.com/sure-analysis-research-database/","Greenlight Capital Re Ltd")</f>
        <v>0</v>
      </c>
      <c r="C685">
        <v>0.123521681997371</v>
      </c>
      <c r="D685">
        <v>0.156968876860622</v>
      </c>
      <c r="E685">
        <v>0.125</v>
      </c>
      <c r="F685">
        <v>0.049079754601226</v>
      </c>
      <c r="G685">
        <v>0.104651162790697</v>
      </c>
      <c r="H685">
        <v>0.074120603015075</v>
      </c>
      <c r="I685">
        <v>-0.5829268292682921</v>
      </c>
    </row>
    <row r="686" spans="1:9">
      <c r="A686" s="1" t="s">
        <v>698</v>
      </c>
      <c r="B686">
        <f>HYPERLINK("https://www.suredividend.com/sure-analysis-research-database/","Greenwich LifeSciences Inc")</f>
        <v>0</v>
      </c>
      <c r="C686">
        <v>0.09938366718027701</v>
      </c>
      <c r="D686">
        <v>0.48956158663883</v>
      </c>
      <c r="E686">
        <v>0.5733186328555671</v>
      </c>
      <c r="F686">
        <v>-0.061184210526315</v>
      </c>
      <c r="G686">
        <v>-0.3396575659416931</v>
      </c>
      <c r="H686">
        <v>-0.614324324324324</v>
      </c>
      <c r="I686">
        <v>1.854</v>
      </c>
    </row>
    <row r="687" spans="1:9">
      <c r="A687" s="1" t="s">
        <v>699</v>
      </c>
      <c r="B687">
        <f>HYPERLINK("https://www.suredividend.com/sure-analysis-research-database/","Glatfelter Corporation")</f>
        <v>0</v>
      </c>
      <c r="C687">
        <v>-0.09604519774011301</v>
      </c>
      <c r="D687">
        <v>0.180811808118081</v>
      </c>
      <c r="E687">
        <v>-0.507692307692307</v>
      </c>
      <c r="F687">
        <v>0.151079136690647</v>
      </c>
      <c r="G687">
        <v>-0.8148073127962361</v>
      </c>
      <c r="H687">
        <v>-0.808662792088206</v>
      </c>
      <c r="I687">
        <v>-0.8271503575826971</v>
      </c>
    </row>
    <row r="688" spans="1:9">
      <c r="A688" s="1" t="s">
        <v>700</v>
      </c>
      <c r="B688">
        <f>HYPERLINK("https://www.suredividend.com/sure-analysis-research-database/","Monte Rosa Therapeutics Inc")</f>
        <v>0</v>
      </c>
      <c r="C688">
        <v>-0.205128205128205</v>
      </c>
      <c r="D688">
        <v>-0.06447187928669401</v>
      </c>
      <c r="E688">
        <v>-0.418584825234441</v>
      </c>
      <c r="F688">
        <v>-0.103810775295663</v>
      </c>
      <c r="G688">
        <v>-0.6000000000000001</v>
      </c>
      <c r="H688">
        <v>-0.6779981114258731</v>
      </c>
      <c r="I688">
        <v>-0.6779981114258731</v>
      </c>
    </row>
    <row r="689" spans="1:9">
      <c r="A689" s="1" t="s">
        <v>701</v>
      </c>
      <c r="B689">
        <f>HYPERLINK("https://www.suredividend.com/sure-analysis-GMRE/","Global Medical REIT Inc")</f>
        <v>0</v>
      </c>
      <c r="C689">
        <v>0.000132670660393</v>
      </c>
      <c r="D689">
        <v>0.334386318455379</v>
      </c>
      <c r="E689">
        <v>-0.069626141606698</v>
      </c>
      <c r="F689">
        <v>0.033755274261603</v>
      </c>
      <c r="G689">
        <v>-0.407048857963999</v>
      </c>
      <c r="H689">
        <v>-0.119599687368052</v>
      </c>
      <c r="I689">
        <v>0.7126878713736451</v>
      </c>
    </row>
    <row r="690" spans="1:9">
      <c r="A690" s="1" t="s">
        <v>702</v>
      </c>
      <c r="B690">
        <f>HYPERLINK("https://www.suredividend.com/sure-analysis-research-database/","GMS Inc")</f>
        <v>0</v>
      </c>
      <c r="C690">
        <v>-0.039441860465116</v>
      </c>
      <c r="D690">
        <v>0.206872370266479</v>
      </c>
      <c r="E690">
        <v>0.119713728041639</v>
      </c>
      <c r="F690">
        <v>0.036746987951807</v>
      </c>
      <c r="G690">
        <v>-0.042470326409495</v>
      </c>
      <c r="H690">
        <v>0.5574660633484161</v>
      </c>
      <c r="I690">
        <v>0.365873015873016</v>
      </c>
    </row>
    <row r="691" spans="1:9">
      <c r="A691" s="1" t="s">
        <v>703</v>
      </c>
      <c r="B691">
        <f>HYPERLINK("https://www.suredividend.com/sure-analysis-research-database/","Gemini Therapeutics Inc")</f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>
      <c r="A692" s="1" t="s">
        <v>704</v>
      </c>
      <c r="B692">
        <f>HYPERLINK("https://www.suredividend.com/sure-analysis-research-database/","Genco Shipping &amp; Trading Limited")</f>
        <v>0</v>
      </c>
      <c r="C692">
        <v>0.05238095238095201</v>
      </c>
      <c r="D692">
        <v>0.169940028284264</v>
      </c>
      <c r="E692">
        <v>-0.009539663230680001</v>
      </c>
      <c r="F692">
        <v>0.007161458333333001</v>
      </c>
      <c r="G692">
        <v>0.122796321698928</v>
      </c>
      <c r="H692">
        <v>1.154896225100988</v>
      </c>
      <c r="I692">
        <v>0.453305400809792</v>
      </c>
    </row>
    <row r="693" spans="1:9">
      <c r="A693" s="1" t="s">
        <v>705</v>
      </c>
      <c r="B693">
        <f>HYPERLINK("https://www.suredividend.com/sure-analysis-GNL/","Global Net Lease Inc")</f>
        <v>0</v>
      </c>
      <c r="C693">
        <v>-0.003700962250185</v>
      </c>
      <c r="D693">
        <v>0.3302235487122721</v>
      </c>
      <c r="E693">
        <v>0.003638749701742</v>
      </c>
      <c r="F693">
        <v>0.070803500397772</v>
      </c>
      <c r="G693">
        <v>-0.030678381103269</v>
      </c>
      <c r="H693">
        <v>-0.028362292371994</v>
      </c>
      <c r="I693">
        <v>0.125700426528393</v>
      </c>
    </row>
    <row r="694" spans="1:9">
      <c r="A694" s="1" t="s">
        <v>706</v>
      </c>
      <c r="B694">
        <f>HYPERLINK("https://www.suredividend.com/sure-analysis-research-database/","Greenlane Holdings Inc")</f>
        <v>0</v>
      </c>
      <c r="C694">
        <v>-0.30078431372549</v>
      </c>
      <c r="D694">
        <v>-0.8093048128342241</v>
      </c>
      <c r="E694">
        <v>-0.9150952380952381</v>
      </c>
      <c r="F694">
        <v>0.240347826086956</v>
      </c>
      <c r="G694">
        <v>-0.9808526632302401</v>
      </c>
      <c r="H694">
        <v>-0.996590822179732</v>
      </c>
      <c r="I694">
        <v>-0.9991549763033171</v>
      </c>
    </row>
    <row r="695" spans="1:9">
      <c r="A695" s="1" t="s">
        <v>707</v>
      </c>
      <c r="B695">
        <f>HYPERLINK("https://www.suredividend.com/sure-analysis-research-database/","Golden Nugget Online Gaming Inc")</f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>
      <c r="A696" s="1" t="s">
        <v>708</v>
      </c>
      <c r="B696">
        <f>HYPERLINK("https://www.suredividend.com/sure-analysis-research-database/","Guaranty Bancshares, Inc. (TX)")</f>
        <v>0</v>
      </c>
      <c r="C696">
        <v>0.012491090312101</v>
      </c>
      <c r="D696">
        <v>-0.018007910334432</v>
      </c>
      <c r="E696">
        <v>-0.027669070843257</v>
      </c>
      <c r="F696">
        <v>0.000577367205542</v>
      </c>
      <c r="G696">
        <v>-0.07683128865402701</v>
      </c>
      <c r="H696">
        <v>0.268282330038824</v>
      </c>
      <c r="I696">
        <v>0.374415100325164</v>
      </c>
    </row>
    <row r="697" spans="1:9">
      <c r="A697" s="1" t="s">
        <v>709</v>
      </c>
      <c r="B697">
        <f>HYPERLINK("https://www.suredividend.com/sure-analysis-research-database/","Genius Brands International Inc")</f>
        <v>0</v>
      </c>
      <c r="C697">
        <v>-0.168711656441717</v>
      </c>
      <c r="D697">
        <v>-0.166153846153846</v>
      </c>
      <c r="E697">
        <v>-0.245860581605676</v>
      </c>
      <c r="F697">
        <v>0.165591397849462</v>
      </c>
      <c r="G697">
        <v>-0.502752293577981</v>
      </c>
      <c r="H697">
        <v>-0.623611111111111</v>
      </c>
      <c r="I697">
        <v>-0.8156462585034011</v>
      </c>
    </row>
    <row r="698" spans="1:9">
      <c r="A698" s="1" t="s">
        <v>710</v>
      </c>
      <c r="B698">
        <f>HYPERLINK("https://www.suredividend.com/sure-analysis-research-database/","Genworth Financial Inc")</f>
        <v>0</v>
      </c>
      <c r="C698">
        <v>0.022177419354838</v>
      </c>
      <c r="D698">
        <v>0.290076335877862</v>
      </c>
      <c r="E698">
        <v>0.385245901639344</v>
      </c>
      <c r="F698">
        <v>-0.041587901701323</v>
      </c>
      <c r="G698">
        <v>0.190140845070422</v>
      </c>
      <c r="H698">
        <v>0.625</v>
      </c>
      <c r="I698">
        <v>0.625</v>
      </c>
    </row>
    <row r="699" spans="1:9">
      <c r="A699" s="1" t="s">
        <v>711</v>
      </c>
      <c r="B699">
        <f>HYPERLINK("https://www.suredividend.com/sure-analysis-research-database/","Canoo Inc")</f>
        <v>0</v>
      </c>
      <c r="C699">
        <v>-0.15625</v>
      </c>
      <c r="D699">
        <v>-0.279999999999999</v>
      </c>
      <c r="E699">
        <v>-0.581395348837209</v>
      </c>
      <c r="F699">
        <v>-0.121951219512195</v>
      </c>
      <c r="G699">
        <v>-0.8457142857142851</v>
      </c>
      <c r="H699">
        <v>-0.928</v>
      </c>
      <c r="I699">
        <v>-0.8902439024390241</v>
      </c>
    </row>
    <row r="700" spans="1:9">
      <c r="A700" s="1" t="s">
        <v>712</v>
      </c>
      <c r="B700">
        <f>HYPERLINK("https://www.suredividend.com/sure-analysis-research-database/","Gogo Inc")</f>
        <v>0</v>
      </c>
      <c r="C700">
        <v>0.002575660012878</v>
      </c>
      <c r="D700">
        <v>0.225019669551534</v>
      </c>
      <c r="E700">
        <v>-0.015802781289506</v>
      </c>
      <c r="F700">
        <v>0.05487804878048701</v>
      </c>
      <c r="G700">
        <v>0.150776053215077</v>
      </c>
      <c r="H700">
        <v>0.514591439688716</v>
      </c>
      <c r="I700">
        <v>0.427131072410632</v>
      </c>
    </row>
    <row r="701" spans="1:9">
      <c r="A701" s="1" t="s">
        <v>713</v>
      </c>
      <c r="B701">
        <f>HYPERLINK("https://www.suredividend.com/sure-analysis-research-database/","Acushnet Holdings Corp")</f>
        <v>0</v>
      </c>
      <c r="C701">
        <v>-0.08777429467084601</v>
      </c>
      <c r="D701">
        <v>0.001682091576461</v>
      </c>
      <c r="E701">
        <v>-0.014125225294407</v>
      </c>
      <c r="F701">
        <v>0.02802637776731</v>
      </c>
      <c r="G701">
        <v>-0.110169750664059</v>
      </c>
      <c r="H701">
        <v>0.07143383129028601</v>
      </c>
      <c r="I701">
        <v>1.30340576880455</v>
      </c>
    </row>
    <row r="702" spans="1:9">
      <c r="A702" s="1" t="s">
        <v>714</v>
      </c>
      <c r="B702">
        <f>HYPERLINK("https://www.suredividend.com/sure-analysis-GOOD/","Gladstone Commercial Corp")</f>
        <v>0</v>
      </c>
      <c r="C702">
        <v>0.010874559656915</v>
      </c>
      <c r="D702">
        <v>0.266953948805528</v>
      </c>
      <c r="E702">
        <v>0.043347433605163</v>
      </c>
      <c r="F702">
        <v>0.03459459459459401</v>
      </c>
      <c r="G702">
        <v>-0.171349652347842</v>
      </c>
      <c r="H702">
        <v>0.223237681344666</v>
      </c>
      <c r="I702">
        <v>0.359442585924016</v>
      </c>
    </row>
    <row r="703" spans="1:9">
      <c r="A703" s="1" t="s">
        <v>715</v>
      </c>
      <c r="B703">
        <f>HYPERLINK("https://www.suredividend.com/sure-analysis-research-database/","Gossamer Bio Inc")</f>
        <v>0</v>
      </c>
      <c r="C703">
        <v>-0.004608294930875</v>
      </c>
      <c r="D703">
        <v>-0.822660098522167</v>
      </c>
      <c r="E703">
        <v>-0.719844357976653</v>
      </c>
      <c r="F703">
        <v>-0.004608294930875</v>
      </c>
      <c r="G703">
        <v>-0.8192468619246861</v>
      </c>
      <c r="H703">
        <v>-0.7954545454545451</v>
      </c>
      <c r="I703">
        <v>-0.8795986622073571</v>
      </c>
    </row>
    <row r="704" spans="1:9">
      <c r="A704" s="1" t="s">
        <v>716</v>
      </c>
      <c r="B704">
        <f>HYPERLINK("https://www.suredividend.com/sure-analysis-research-database/","Group 1 Automotive, Inc.")</f>
        <v>0</v>
      </c>
      <c r="C704">
        <v>-0.044065835831098</v>
      </c>
      <c r="D704">
        <v>0.19098470633864</v>
      </c>
      <c r="E704">
        <v>0.08269492707487701</v>
      </c>
      <c r="F704">
        <v>0.007872706104119</v>
      </c>
      <c r="G704">
        <v>-0.043415436798538</v>
      </c>
      <c r="H704">
        <v>0.259100933088056</v>
      </c>
      <c r="I704">
        <v>1.395210369802351</v>
      </c>
    </row>
    <row r="705" spans="1:9">
      <c r="A705" s="1" t="s">
        <v>717</v>
      </c>
      <c r="B705">
        <f>HYPERLINK("https://www.suredividend.com/sure-analysis-research-database/","Granite Point Mortgage Trust Inc")</f>
        <v>0</v>
      </c>
      <c r="C705">
        <v>-0.105127883650952</v>
      </c>
      <c r="D705">
        <v>-0.04918906317647401</v>
      </c>
      <c r="E705">
        <v>-0.359808054534038</v>
      </c>
      <c r="F705">
        <v>0.06529850746268601</v>
      </c>
      <c r="G705">
        <v>-0.45672340466019</v>
      </c>
      <c r="H705">
        <v>-0.293919796213629</v>
      </c>
      <c r="I705">
        <v>-0.501584281137889</v>
      </c>
    </row>
    <row r="706" spans="1:9">
      <c r="A706" s="1" t="s">
        <v>718</v>
      </c>
      <c r="B706">
        <f>HYPERLINK("https://www.suredividend.com/sure-analysis-research-database/","Green Plains Inc")</f>
        <v>0</v>
      </c>
      <c r="C706">
        <v>0.070103092783505</v>
      </c>
      <c r="D706">
        <v>0.119338605319913</v>
      </c>
      <c r="E706">
        <v>0.09186535764375801</v>
      </c>
      <c r="F706">
        <v>0.020983606557376</v>
      </c>
      <c r="G706">
        <v>-0.132107023411371</v>
      </c>
      <c r="H706">
        <v>0.720441988950276</v>
      </c>
      <c r="I706">
        <v>0.8670072126193861</v>
      </c>
    </row>
    <row r="707" spans="1:9">
      <c r="A707" s="1" t="s">
        <v>719</v>
      </c>
      <c r="B707">
        <f>HYPERLINK("https://www.suredividend.com/sure-analysis-research-database/","GoPro Inc.")</f>
        <v>0</v>
      </c>
      <c r="C707">
        <v>-0.013207547169811</v>
      </c>
      <c r="D707">
        <v>0.04391217564870201</v>
      </c>
      <c r="E707">
        <v>-0.059352517985611</v>
      </c>
      <c r="F707">
        <v>0.050200803212851</v>
      </c>
      <c r="G707">
        <v>-0.510299625468164</v>
      </c>
      <c r="H707">
        <v>-0.367593712212817</v>
      </c>
      <c r="I707">
        <v>-0.152350081037277</v>
      </c>
    </row>
    <row r="708" spans="1:9">
      <c r="A708" s="1" t="s">
        <v>720</v>
      </c>
      <c r="B708">
        <f>HYPERLINK("https://www.suredividend.com/sure-analysis-research-database/","Green Brick Partners Inc")</f>
        <v>0</v>
      </c>
      <c r="C708">
        <v>0.135237295254095</v>
      </c>
      <c r="D708">
        <v>0.201867496665184</v>
      </c>
      <c r="E708">
        <v>0.261315912272515</v>
      </c>
      <c r="F708">
        <v>0.115559224102352</v>
      </c>
      <c r="G708">
        <v>0.048080651415277</v>
      </c>
      <c r="H708">
        <v>0.210479175996417</v>
      </c>
      <c r="I708">
        <v>1.350434782608695</v>
      </c>
    </row>
    <row r="709" spans="1:9">
      <c r="A709" s="1" t="s">
        <v>721</v>
      </c>
      <c r="B709">
        <f>HYPERLINK("https://www.suredividend.com/sure-analysis-GRC/","Gorman-Rupp Co.")</f>
        <v>0</v>
      </c>
      <c r="C709">
        <v>-0.019879969992498</v>
      </c>
      <c r="D709">
        <v>0.08964896039232301</v>
      </c>
      <c r="E709">
        <v>-0.038309367742695</v>
      </c>
      <c r="F709">
        <v>0.019906323185011</v>
      </c>
      <c r="G709">
        <v>-0.383240571582331</v>
      </c>
      <c r="H709">
        <v>-0.194991882141635</v>
      </c>
      <c r="I709">
        <v>-0.09093123014782301</v>
      </c>
    </row>
    <row r="710" spans="1:9">
      <c r="A710" s="1" t="s">
        <v>722</v>
      </c>
      <c r="B710">
        <f>HYPERLINK("https://www.suredividend.com/sure-analysis-research-database/","Graphite Bio Inc")</f>
        <v>0</v>
      </c>
      <c r="C710">
        <v>-0.419696969696969</v>
      </c>
      <c r="D710">
        <v>-0.4015625</v>
      </c>
      <c r="E710">
        <v>-0.421450151057401</v>
      </c>
      <c r="F710">
        <v>-0.4231927710843371</v>
      </c>
      <c r="G710">
        <v>-0.827477477477477</v>
      </c>
      <c r="H710">
        <v>-0.8964864864864861</v>
      </c>
      <c r="I710">
        <v>-0.8964864864864861</v>
      </c>
    </row>
    <row r="711" spans="1:9">
      <c r="A711" s="1" t="s">
        <v>723</v>
      </c>
      <c r="B711">
        <f>HYPERLINK("https://www.suredividend.com/sure-analysis-research-database/","Groupon Inc")</f>
        <v>0</v>
      </c>
      <c r="C711">
        <v>0.192634560906515</v>
      </c>
      <c r="D711">
        <v>0.021844660194174</v>
      </c>
      <c r="E711">
        <v>-0.209389671361502</v>
      </c>
      <c r="F711">
        <v>-0.018648018648018</v>
      </c>
      <c r="G711">
        <v>-0.6441251056635671</v>
      </c>
      <c r="H711">
        <v>-0.764475524475524</v>
      </c>
      <c r="I711">
        <v>-0.9171259842519681</v>
      </c>
    </row>
    <row r="712" spans="1:9">
      <c r="A712" s="1" t="s">
        <v>724</v>
      </c>
      <c r="B712">
        <f>HYPERLINK("https://www.suredividend.com/sure-analysis-research-database/","Gritstone Bio Inc")</f>
        <v>0</v>
      </c>
      <c r="C712">
        <v>0.406130268199233</v>
      </c>
      <c r="D712">
        <v>0.5617021276595741</v>
      </c>
      <c r="E712">
        <v>0.320143884892086</v>
      </c>
      <c r="F712">
        <v>0.06376811594202801</v>
      </c>
      <c r="G712">
        <v>-0.431007751937984</v>
      </c>
      <c r="H712">
        <v>-0.30754716981132</v>
      </c>
      <c r="I712">
        <v>-0.7422752808988761</v>
      </c>
    </row>
    <row r="713" spans="1:9">
      <c r="A713" s="1" t="s">
        <v>725</v>
      </c>
      <c r="B713">
        <f>HYPERLINK("https://www.suredividend.com/sure-analysis-research-database/","GrowGeneration Corp")</f>
        <v>0</v>
      </c>
      <c r="C713">
        <v>-0.309882747068676</v>
      </c>
      <c r="D713">
        <v>0.027431421446384</v>
      </c>
      <c r="E713">
        <v>-0.05069124423963101</v>
      </c>
      <c r="F713">
        <v>0.051020408163265</v>
      </c>
      <c r="G713">
        <v>-0.630824372759856</v>
      </c>
      <c r="H713">
        <v>-0.9090909090909091</v>
      </c>
      <c r="I713">
        <v>-0.05226352594773601</v>
      </c>
    </row>
    <row r="714" spans="1:9">
      <c r="A714" s="1" t="s">
        <v>726</v>
      </c>
      <c r="B714">
        <f>HYPERLINK("https://www.suredividend.com/sure-analysis-research-database/","Globalstar Inc.")</f>
        <v>0</v>
      </c>
      <c r="C714">
        <v>-0.176470588235294</v>
      </c>
      <c r="D714">
        <v>-0.284090909090909</v>
      </c>
      <c r="E714">
        <v>-0.066666666666666</v>
      </c>
      <c r="F714">
        <v>-0.052631578947368</v>
      </c>
      <c r="G714">
        <v>0.177570093457943</v>
      </c>
      <c r="H714">
        <v>1.25</v>
      </c>
      <c r="I714">
        <v>0.016129032258064</v>
      </c>
    </row>
    <row r="715" spans="1:9">
      <c r="A715" s="1" t="s">
        <v>727</v>
      </c>
      <c r="B715">
        <f>HYPERLINK("https://www.suredividend.com/sure-analysis-research-database/","Great Southern Bancorp, Inc.")</f>
        <v>0</v>
      </c>
      <c r="C715">
        <v>-0.021282588705067</v>
      </c>
      <c r="D715">
        <v>0.023174282591487</v>
      </c>
      <c r="E715">
        <v>0.007078704556148001</v>
      </c>
      <c r="F715">
        <v>-0.007060010085728</v>
      </c>
      <c r="G715">
        <v>0.000450516061067</v>
      </c>
      <c r="H715">
        <v>0.226429588781709</v>
      </c>
      <c r="I715">
        <v>0.344296468917553</v>
      </c>
    </row>
    <row r="716" spans="1:9">
      <c r="A716" s="1" t="s">
        <v>728</v>
      </c>
      <c r="B716">
        <f>HYPERLINK("https://www.suredividend.com/sure-analysis-research-database/","Goosehead Insurance Inc")</f>
        <v>0</v>
      </c>
      <c r="C716">
        <v>-0.207589285714285</v>
      </c>
      <c r="D716">
        <v>-0.025022886786695</v>
      </c>
      <c r="E716">
        <v>-0.3816527965937681</v>
      </c>
      <c r="F716">
        <v>-0.069598136284216</v>
      </c>
      <c r="G716">
        <v>-0.7149103239047021</v>
      </c>
      <c r="H716">
        <v>-0.749836160302169</v>
      </c>
      <c r="I716">
        <v>1.113948087522082</v>
      </c>
    </row>
    <row r="717" spans="1:9">
      <c r="A717" s="1" t="s">
        <v>729</v>
      </c>
      <c r="B717">
        <f>HYPERLINK("https://www.suredividend.com/sure-analysis-research-database/","Goodyear Tire &amp; Rubber Co.")</f>
        <v>0</v>
      </c>
      <c r="C717">
        <v>0.057034220532319</v>
      </c>
      <c r="D717">
        <v>0.002705139765554</v>
      </c>
      <c r="E717">
        <v>-0.001795332136445</v>
      </c>
      <c r="F717">
        <v>0.09556650246305401</v>
      </c>
      <c r="G717">
        <v>-0.492237442922374</v>
      </c>
      <c r="H717">
        <v>-0.029668411867364</v>
      </c>
      <c r="I717">
        <v>-0.6474094742849891</v>
      </c>
    </row>
    <row r="718" spans="1:9">
      <c r="A718" s="1" t="s">
        <v>730</v>
      </c>
      <c r="B718">
        <f>HYPERLINK("https://www.suredividend.com/sure-analysis-research-database/","GT Biopharma Inc")</f>
        <v>0</v>
      </c>
      <c r="C718">
        <v>-0.346405228758169</v>
      </c>
      <c r="D718">
        <v>-0.453551912568306</v>
      </c>
      <c r="E718">
        <v>-0.6610169491525421</v>
      </c>
      <c r="F718">
        <v>0.129050468555944</v>
      </c>
      <c r="G718">
        <v>-0.6875</v>
      </c>
      <c r="H718">
        <v>39</v>
      </c>
      <c r="I718">
        <v>39</v>
      </c>
    </row>
    <row r="719" spans="1:9">
      <c r="A719" s="1" t="s">
        <v>731</v>
      </c>
      <c r="B719">
        <f>HYPERLINK("https://www.suredividend.com/sure-analysis-research-database/","G1 Therapeutics Inc")</f>
        <v>0</v>
      </c>
      <c r="C719">
        <v>-0.09523809523809501</v>
      </c>
      <c r="D719">
        <v>-0.579778830963665</v>
      </c>
      <c r="E719">
        <v>-0.210682492581602</v>
      </c>
      <c r="F719">
        <v>-0.020257826887661</v>
      </c>
      <c r="G719">
        <v>-0.449844881075491</v>
      </c>
      <c r="H719">
        <v>-0.6975554292211481</v>
      </c>
      <c r="I719">
        <v>-0.742372881355932</v>
      </c>
    </row>
    <row r="720" spans="1:9">
      <c r="A720" s="1" t="s">
        <v>732</v>
      </c>
      <c r="B720">
        <f>HYPERLINK("https://www.suredividend.com/sure-analysis-research-database/","Chart Industries Inc")</f>
        <v>0</v>
      </c>
      <c r="C720">
        <v>0.04948805460750801</v>
      </c>
      <c r="D720">
        <v>-0.374904711084006</v>
      </c>
      <c r="E720">
        <v>-0.274550280153347</v>
      </c>
      <c r="F720">
        <v>0.067430356677948</v>
      </c>
      <c r="G720">
        <v>-0.107531562908141</v>
      </c>
      <c r="H720">
        <v>-0.067404655394646</v>
      </c>
      <c r="I720">
        <v>1.364020757255429</v>
      </c>
    </row>
    <row r="721" spans="1:9">
      <c r="A721" s="1" t="s">
        <v>733</v>
      </c>
      <c r="B721">
        <f>HYPERLINK("https://www.suredividend.com/sure-analysis-research-database/","Gray Television, Inc.")</f>
        <v>0</v>
      </c>
      <c r="C721">
        <v>-0.016767326941757</v>
      </c>
      <c r="D721">
        <v>-0.190598706626799</v>
      </c>
      <c r="E721">
        <v>-0.306432776413947</v>
      </c>
      <c r="F721">
        <v>0.040214477211796</v>
      </c>
      <c r="G721">
        <v>-0.447922595332953</v>
      </c>
      <c r="H721">
        <v>-0.312194949005519</v>
      </c>
      <c r="I721">
        <v>-0.247284014485256</v>
      </c>
    </row>
    <row r="722" spans="1:9">
      <c r="A722" s="1" t="s">
        <v>734</v>
      </c>
      <c r="B722">
        <f>HYPERLINK("https://www.suredividend.com/sure-analysis-research-database/","Getty Realty Corp.")</f>
        <v>0</v>
      </c>
      <c r="C722">
        <v>0.043071611463435</v>
      </c>
      <c r="D722">
        <v>0.303742265451971</v>
      </c>
      <c r="E722">
        <v>0.308897523180781</v>
      </c>
      <c r="F722">
        <v>0.012112259970457</v>
      </c>
      <c r="G722">
        <v>0.155215667233147</v>
      </c>
      <c r="H722">
        <v>0.4179231109878691</v>
      </c>
      <c r="I722">
        <v>0.7018190488490611</v>
      </c>
    </row>
    <row r="723" spans="1:9">
      <c r="A723" s="1" t="s">
        <v>735</v>
      </c>
      <c r="B723">
        <f>HYPERLINK("https://www.suredividend.com/sure-analysis-research-database/","GTY Technology Holdings Inc")</f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>
      <c r="A724" s="1" t="s">
        <v>736</v>
      </c>
      <c r="B724">
        <f>HYPERLINK("https://www.suredividend.com/sure-analysis-research-database/","Granite Construction Inc.")</f>
        <v>0</v>
      </c>
      <c r="C724">
        <v>-0.006947156104535001</v>
      </c>
      <c r="D724">
        <v>0.32001000743089</v>
      </c>
      <c r="E724">
        <v>0.23721659515193</v>
      </c>
      <c r="F724">
        <v>0.007984031936127001</v>
      </c>
      <c r="G724">
        <v>-0.06890620843331201</v>
      </c>
      <c r="H724">
        <v>0.07792465199957301</v>
      </c>
      <c r="I724">
        <v>-0.400194788227189</v>
      </c>
    </row>
    <row r="725" spans="1:9">
      <c r="A725" s="1" t="s">
        <v>737</v>
      </c>
      <c r="B725">
        <f>HYPERLINK("https://www.suredividend.com/sure-analysis-GWRS/","Global Water Resources Inc")</f>
        <v>0</v>
      </c>
      <c r="C725">
        <v>0.0213670271208</v>
      </c>
      <c r="D725">
        <v>0.292133803976077</v>
      </c>
      <c r="E725">
        <v>0.04604678708913201</v>
      </c>
      <c r="F725">
        <v>0.06400602409638501</v>
      </c>
      <c r="G725">
        <v>-0.115138459226231</v>
      </c>
      <c r="H725">
        <v>-0.130755744209652</v>
      </c>
      <c r="I725">
        <v>0.7493036211699161</v>
      </c>
    </row>
    <row r="726" spans="1:9">
      <c r="A726" s="1" t="s">
        <v>738</v>
      </c>
      <c r="B726">
        <f>HYPERLINK("https://www.suredividend.com/sure-analysis-research-database/","Hawaiian Holdings, Inc.")</f>
        <v>0</v>
      </c>
      <c r="C726">
        <v>-0.05643879173290901</v>
      </c>
      <c r="D726">
        <v>-0.111526946107784</v>
      </c>
      <c r="E726">
        <v>-0.186986301369863</v>
      </c>
      <c r="F726">
        <v>0.156920077972709</v>
      </c>
      <c r="G726">
        <v>-0.398987341772151</v>
      </c>
      <c r="H726">
        <v>-0.395621181262729</v>
      </c>
      <c r="I726">
        <v>-0.665400997313623</v>
      </c>
    </row>
    <row r="727" spans="1:9">
      <c r="A727" s="1" t="s">
        <v>739</v>
      </c>
      <c r="B727">
        <f>HYPERLINK("https://www.suredividend.com/sure-analysis-research-database/","Haemonetics Corp.")</f>
        <v>0</v>
      </c>
      <c r="C727">
        <v>-0.09221362615423001</v>
      </c>
      <c r="D727">
        <v>-0.04200684751119201</v>
      </c>
      <c r="E727">
        <v>0.08907185628742501</v>
      </c>
      <c r="F727">
        <v>-0.075015893197711</v>
      </c>
      <c r="G727">
        <v>0.3822914687440621</v>
      </c>
      <c r="H727">
        <v>-0.431951276645584</v>
      </c>
      <c r="I727">
        <v>0.147657359204921</v>
      </c>
    </row>
    <row r="728" spans="1:9">
      <c r="A728" s="1" t="s">
        <v>740</v>
      </c>
      <c r="B728">
        <f>HYPERLINK("https://www.suredividend.com/sure-analysis-research-database/","Hanmi Financial Corp.")</f>
        <v>0</v>
      </c>
      <c r="C728">
        <v>-0.03653693407466201</v>
      </c>
      <c r="D728">
        <v>0.032850257999693</v>
      </c>
      <c r="E728">
        <v>0.09229584738474801</v>
      </c>
      <c r="F728">
        <v>-0.019797979797979</v>
      </c>
      <c r="G728">
        <v>-0.015190263941999</v>
      </c>
      <c r="H728">
        <v>1.077428304746572</v>
      </c>
      <c r="I728">
        <v>-0.030635281519337</v>
      </c>
    </row>
    <row r="729" spans="1:9">
      <c r="A729" s="1" t="s">
        <v>741</v>
      </c>
      <c r="B729">
        <f>HYPERLINK("https://www.suredividend.com/sure-analysis-research-database/","Halozyme Therapeutics Inc.")</f>
        <v>0</v>
      </c>
      <c r="C729">
        <v>-0.033198665027226</v>
      </c>
      <c r="D729">
        <v>0.326265060240963</v>
      </c>
      <c r="E729">
        <v>0.06295867130166001</v>
      </c>
      <c r="F729">
        <v>-0.03268892794376</v>
      </c>
      <c r="G729">
        <v>0.47599892732636</v>
      </c>
      <c r="H729">
        <v>0.263254532935506</v>
      </c>
      <c r="I729">
        <v>1.94962486602358</v>
      </c>
    </row>
    <row r="730" spans="1:9">
      <c r="A730" s="1" t="s">
        <v>742</v>
      </c>
      <c r="B730">
        <f>HYPERLINK("https://www.suredividend.com/sure-analysis-research-database/","Harpoon Therapeutics Inc")</f>
        <v>0</v>
      </c>
      <c r="C730">
        <v>-0.347826086956521</v>
      </c>
      <c r="D730">
        <v>-0.271844660194174</v>
      </c>
      <c r="E730">
        <v>-0.7023809523809521</v>
      </c>
      <c r="F730">
        <v>0.033484911120297</v>
      </c>
      <c r="G730">
        <v>-0.876441515650741</v>
      </c>
      <c r="H730">
        <v>-0.9643536121673001</v>
      </c>
      <c r="I730">
        <v>-0.9444444444444441</v>
      </c>
    </row>
    <row r="731" spans="1:9">
      <c r="A731" s="1" t="s">
        <v>743</v>
      </c>
      <c r="B731">
        <f>HYPERLINK("https://www.suredividend.com/sure-analysis-HASI/","Hannon Armstrong Sustainable Infrastructure capital Inc")</f>
        <v>0</v>
      </c>
      <c r="C731">
        <v>-0.005197581015985</v>
      </c>
      <c r="D731">
        <v>0.146300376740736</v>
      </c>
      <c r="E731">
        <v>-0.162316247646768</v>
      </c>
      <c r="F731">
        <v>0.082470669427191</v>
      </c>
      <c r="G731">
        <v>-0.331678685940113</v>
      </c>
      <c r="H731">
        <v>-0.5224495885180861</v>
      </c>
      <c r="I731">
        <v>0.7482264167767321</v>
      </c>
    </row>
    <row r="732" spans="1:9">
      <c r="A732" s="1" t="s">
        <v>744</v>
      </c>
      <c r="B732">
        <f>HYPERLINK("https://www.suredividend.com/sure-analysis-research-database/","Haynes International Inc.")</f>
        <v>0</v>
      </c>
      <c r="C732">
        <v>0.05994550408719301</v>
      </c>
      <c r="D732">
        <v>0.331890035450345</v>
      </c>
      <c r="E732">
        <v>0.6960521593893271</v>
      </c>
      <c r="F732">
        <v>0.106806741081199</v>
      </c>
      <c r="G732">
        <v>0.199094217933062</v>
      </c>
      <c r="H732">
        <v>1.127829672641588</v>
      </c>
      <c r="I732">
        <v>0.657712114705679</v>
      </c>
    </row>
    <row r="733" spans="1:9">
      <c r="A733" s="1" t="s">
        <v>745</v>
      </c>
      <c r="B733">
        <f>HYPERLINK("https://www.suredividend.com/sure-analysis-research-database/","Hamilton Beach Brands Holding Co")</f>
        <v>0</v>
      </c>
      <c r="C733">
        <v>-0.147018030513176</v>
      </c>
      <c r="D733">
        <v>0.117409789599912</v>
      </c>
      <c r="E733">
        <v>-0.002788947982877</v>
      </c>
      <c r="F733">
        <v>-0.007263922518159001</v>
      </c>
      <c r="G733">
        <v>-0.09362887418389701</v>
      </c>
      <c r="H733">
        <v>-0.287493483172102</v>
      </c>
      <c r="I733">
        <v>-0.474336510107269</v>
      </c>
    </row>
    <row r="734" spans="1:9">
      <c r="A734" s="1" t="s">
        <v>746</v>
      </c>
      <c r="B734">
        <f>HYPERLINK("https://www.suredividend.com/sure-analysis-research-database/","Home Bancorp Inc")</f>
        <v>0</v>
      </c>
      <c r="C734">
        <v>-0.053840631730078</v>
      </c>
      <c r="D734">
        <v>0.01707733028776</v>
      </c>
      <c r="E734">
        <v>0.116501290442816</v>
      </c>
      <c r="F734">
        <v>-0.01224081938546</v>
      </c>
      <c r="G734">
        <v>-0.104128621209992</v>
      </c>
      <c r="H734">
        <v>0.367650263395466</v>
      </c>
      <c r="I734">
        <v>0.065567143665615</v>
      </c>
    </row>
    <row r="735" spans="1:9">
      <c r="A735" s="1" t="s">
        <v>747</v>
      </c>
      <c r="B735">
        <f>HYPERLINK("https://www.suredividend.com/sure-analysis-research-database/","Harvard Bioscience Inc.")</f>
        <v>0</v>
      </c>
      <c r="C735">
        <v>0.003623188405797</v>
      </c>
      <c r="D735">
        <v>0.130612244897959</v>
      </c>
      <c r="E735">
        <v>-0.289743589743589</v>
      </c>
      <c r="F735">
        <v>0</v>
      </c>
      <c r="G735">
        <v>-0.5840840840840841</v>
      </c>
      <c r="H735">
        <v>-0.343601895734597</v>
      </c>
      <c r="I735">
        <v>-0.261333333333333</v>
      </c>
    </row>
    <row r="736" spans="1:9">
      <c r="A736" s="1" t="s">
        <v>748</v>
      </c>
      <c r="B736">
        <f>HYPERLINK("https://www.suredividend.com/sure-analysis-research-database/","Horizon Bancorp Inc (IN)")</f>
        <v>0</v>
      </c>
      <c r="C736">
        <v>0.033233915636983</v>
      </c>
      <c r="D736">
        <v>-0.142456155860803</v>
      </c>
      <c r="E736">
        <v>-0.08937288772061501</v>
      </c>
      <c r="F736">
        <v>0.040082027087703</v>
      </c>
      <c r="G736">
        <v>-0.261444751118302</v>
      </c>
      <c r="H736">
        <v>0.01826579886626</v>
      </c>
      <c r="I736">
        <v>0.013220173004732</v>
      </c>
    </row>
    <row r="737" spans="1:9">
      <c r="A737" s="1" t="s">
        <v>749</v>
      </c>
      <c r="B737">
        <f>HYPERLINK("https://www.suredividend.com/sure-analysis-research-database/","HBT Financial Inc")</f>
        <v>0</v>
      </c>
      <c r="C737">
        <v>0.019161056447436</v>
      </c>
      <c r="D737">
        <v>0.109688914952043</v>
      </c>
      <c r="E737">
        <v>0.141206965537637</v>
      </c>
      <c r="F737">
        <v>0.005620848237097</v>
      </c>
      <c r="G737">
        <v>0.04314087172229501</v>
      </c>
      <c r="H737">
        <v>0.356184490707241</v>
      </c>
      <c r="I737">
        <v>0.418736257794759</v>
      </c>
    </row>
    <row r="738" spans="1:9">
      <c r="A738" s="1" t="s">
        <v>750</v>
      </c>
      <c r="B738">
        <f>HYPERLINK("https://www.suredividend.com/sure-analysis-research-database/","Health Catalyst Inc")</f>
        <v>0</v>
      </c>
      <c r="C738">
        <v>-0.037649219467401</v>
      </c>
      <c r="D738">
        <v>0.104320337197049</v>
      </c>
      <c r="E738">
        <v>-0.375446960667461</v>
      </c>
      <c r="F738">
        <v>-0.014111006585136</v>
      </c>
      <c r="G738">
        <v>-0.6914016489988221</v>
      </c>
      <c r="H738">
        <v>-0.765600536792663</v>
      </c>
      <c r="I738">
        <v>-0.7324483022721471</v>
      </c>
    </row>
    <row r="739" spans="1:9">
      <c r="A739" s="1" t="s">
        <v>751</v>
      </c>
      <c r="B739">
        <f>HYPERLINK("https://www.suredividend.com/sure-analysis-research-database/","Warrior Met Coal Inc")</f>
        <v>0</v>
      </c>
      <c r="C739">
        <v>-0.052972668357283</v>
      </c>
      <c r="D739">
        <v>0.041298757629271</v>
      </c>
      <c r="E739">
        <v>0.199881475557903</v>
      </c>
      <c r="F739">
        <v>-0.02973441108545</v>
      </c>
      <c r="G739">
        <v>0.356198930697064</v>
      </c>
      <c r="H739">
        <v>0.554600665134113</v>
      </c>
      <c r="I739">
        <v>1.019504046819326</v>
      </c>
    </row>
    <row r="740" spans="1:9">
      <c r="A740" s="1" t="s">
        <v>752</v>
      </c>
      <c r="B740">
        <f>HYPERLINK("https://www.suredividend.com/sure-analysis-research-database/","Heritage-Crystal Clean Inc")</f>
        <v>0</v>
      </c>
      <c r="C740">
        <v>0.08791924454575001</v>
      </c>
      <c r="D740">
        <v>0.139883998635278</v>
      </c>
      <c r="E740">
        <v>0.215793304221251</v>
      </c>
      <c r="F740">
        <v>0.028633004926108</v>
      </c>
      <c r="G740">
        <v>0.059289790741914</v>
      </c>
      <c r="H740">
        <v>0.4815964523281591</v>
      </c>
      <c r="I740">
        <v>0.4915178571428571</v>
      </c>
    </row>
    <row r="741" spans="1:9">
      <c r="A741" s="1" t="s">
        <v>753</v>
      </c>
      <c r="B741">
        <f>HYPERLINK("https://www.suredividend.com/sure-analysis-research-database/","HCI Group Inc")</f>
        <v>0</v>
      </c>
      <c r="C741">
        <v>0.152845998266397</v>
      </c>
      <c r="D741">
        <v>0.212246423265409</v>
      </c>
      <c r="E741">
        <v>-0.417093620023929</v>
      </c>
      <c r="F741">
        <v>0.007830260166708</v>
      </c>
      <c r="G741">
        <v>-0.501054163759275</v>
      </c>
      <c r="H741">
        <v>-0.21777589573482</v>
      </c>
      <c r="I741">
        <v>0.410901067192837</v>
      </c>
    </row>
    <row r="742" spans="1:9">
      <c r="A742" s="1" t="s">
        <v>754</v>
      </c>
      <c r="B742">
        <f>HYPERLINK("https://www.suredividend.com/sure-analysis-research-database/","Hackett Group Inc (The)")</f>
        <v>0</v>
      </c>
      <c r="C742">
        <v>0.015655822099053</v>
      </c>
      <c r="D742">
        <v>0.114289937080359</v>
      </c>
      <c r="E742">
        <v>0.05148857110124801</v>
      </c>
      <c r="F742">
        <v>0.036327933235149</v>
      </c>
      <c r="G742">
        <v>0.07364459363238701</v>
      </c>
      <c r="H742">
        <v>0.497566720108965</v>
      </c>
      <c r="I742">
        <v>0.4719828187320441</v>
      </c>
    </row>
    <row r="743" spans="1:9">
      <c r="A743" s="1" t="s">
        <v>755</v>
      </c>
      <c r="B743">
        <f>HYPERLINK("https://www.suredividend.com/sure-analysis-HCSG/","Healthcare Services Group, Inc.")</f>
        <v>0</v>
      </c>
      <c r="C743">
        <v>0.008533747090768</v>
      </c>
      <c r="D743">
        <v>0.087702270787663</v>
      </c>
      <c r="E743">
        <v>-0.245335593456479</v>
      </c>
      <c r="F743">
        <v>0.08333333333333301</v>
      </c>
      <c r="G743">
        <v>-0.221892357785864</v>
      </c>
      <c r="H743">
        <v>-0.546083045852595</v>
      </c>
      <c r="I743">
        <v>-0.708937195363593</v>
      </c>
    </row>
    <row r="744" spans="1:9">
      <c r="A744" s="1" t="s">
        <v>756</v>
      </c>
      <c r="B744">
        <f>HYPERLINK("https://www.suredividend.com/sure-analysis-research-database/","Turtle Beach Corp")</f>
        <v>0</v>
      </c>
      <c r="C744">
        <v>0.003504672897196</v>
      </c>
      <c r="D744">
        <v>0.159244264507422</v>
      </c>
      <c r="E744">
        <v>-0.368846436443791</v>
      </c>
      <c r="F744">
        <v>0.198047419804741</v>
      </c>
      <c r="G744">
        <v>-0.5948113207547171</v>
      </c>
      <c r="H744">
        <v>-0.581791626095423</v>
      </c>
      <c r="I744">
        <v>3.831271091113611</v>
      </c>
    </row>
    <row r="745" spans="1:9">
      <c r="A745" s="1" t="s">
        <v>757</v>
      </c>
      <c r="B745">
        <f>HYPERLINK("https://www.suredividend.com/sure-analysis-research-database/","H&amp;E Equipment Services Inc")</f>
        <v>0</v>
      </c>
      <c r="C745">
        <v>0.107893507706679</v>
      </c>
      <c r="D745">
        <v>0.618008185538881</v>
      </c>
      <c r="E745">
        <v>0.7081276486960401</v>
      </c>
      <c r="F745">
        <v>0.044933920704845</v>
      </c>
      <c r="G745">
        <v>0.102599382693094</v>
      </c>
      <c r="H745">
        <v>0.566121077269456</v>
      </c>
      <c r="I745">
        <v>0.430453831378922</v>
      </c>
    </row>
    <row r="746" spans="1:9">
      <c r="A746" s="1" t="s">
        <v>758</v>
      </c>
      <c r="B746">
        <f>HYPERLINK("https://www.suredividend.com/sure-analysis-research-database/","Helen of Troy Ltd")</f>
        <v>0</v>
      </c>
      <c r="C746">
        <v>0.183329953356317</v>
      </c>
      <c r="D746">
        <v>0.166416791604197</v>
      </c>
      <c r="E746">
        <v>-0.239838457529963</v>
      </c>
      <c r="F746">
        <v>0.05220449012713001</v>
      </c>
      <c r="G746">
        <v>-0.4970044394638161</v>
      </c>
      <c r="H746">
        <v>-0.4549276039234</v>
      </c>
      <c r="I746">
        <v>0.217527386541471</v>
      </c>
    </row>
    <row r="747" spans="1:9">
      <c r="A747" s="1" t="s">
        <v>759</v>
      </c>
      <c r="B747">
        <f>HYPERLINK("https://www.suredividend.com/sure-analysis-research-database/","HF Foods Group Inc.")</f>
        <v>0</v>
      </c>
      <c r="C747">
        <v>-0.017326732673267</v>
      </c>
      <c r="D747">
        <v>0.07297297297297201</v>
      </c>
      <c r="E747">
        <v>-0.230620155038759</v>
      </c>
      <c r="F747">
        <v>-0.022167487684728</v>
      </c>
      <c r="G747">
        <v>-0.5694143167028199</v>
      </c>
      <c r="H747">
        <v>-0.48840206185567</v>
      </c>
      <c r="I747">
        <v>-0.595723014256619</v>
      </c>
    </row>
    <row r="748" spans="1:9">
      <c r="A748" s="1" t="s">
        <v>760</v>
      </c>
      <c r="B748">
        <f>HYPERLINK("https://www.suredividend.com/sure-analysis-research-database/","Heritage Financial Corp.")</f>
        <v>0</v>
      </c>
      <c r="C748">
        <v>-0.05089141004862201</v>
      </c>
      <c r="D748">
        <v>0.05002313063248801</v>
      </c>
      <c r="E748">
        <v>0.150676533351148</v>
      </c>
      <c r="F748">
        <v>-0.04438642297650101</v>
      </c>
      <c r="G748">
        <v>0.149344073105819</v>
      </c>
      <c r="H748">
        <v>0.260509628175489</v>
      </c>
      <c r="I748">
        <v>0.09453443035987201</v>
      </c>
    </row>
    <row r="749" spans="1:9">
      <c r="A749" s="1" t="s">
        <v>761</v>
      </c>
      <c r="B749">
        <f>HYPERLINK("https://www.suredividend.com/sure-analysis-research-database/","Humanigen Inc")</f>
        <v>0</v>
      </c>
      <c r="C749">
        <v>0.401299756295694</v>
      </c>
      <c r="D749">
        <v>0.014705882352941</v>
      </c>
      <c r="E749">
        <v>-0.9423076923076921</v>
      </c>
      <c r="F749">
        <v>0.4375</v>
      </c>
      <c r="G749">
        <v>-0.945063694267516</v>
      </c>
      <c r="H749">
        <v>-0.989982578397212</v>
      </c>
      <c r="I749">
        <v>-0.992687579482831</v>
      </c>
    </row>
    <row r="750" spans="1:9">
      <c r="A750" s="1" t="s">
        <v>762</v>
      </c>
      <c r="B750">
        <f>HYPERLINK("https://www.suredividend.com/sure-analysis-research-database/","Hilton Grand Vacations Inc")</f>
        <v>0</v>
      </c>
      <c r="C750">
        <v>0.015784361340456</v>
      </c>
      <c r="D750">
        <v>0.191398461976644</v>
      </c>
      <c r="E750">
        <v>0.115466666666666</v>
      </c>
      <c r="F750">
        <v>0.08536585365853601</v>
      </c>
      <c r="G750">
        <v>-0.230075464752438</v>
      </c>
      <c r="H750">
        <v>0.295848822800495</v>
      </c>
      <c r="I750">
        <v>-0.004284694120447</v>
      </c>
    </row>
    <row r="751" spans="1:9">
      <c r="A751" s="1" t="s">
        <v>763</v>
      </c>
      <c r="B751">
        <f>HYPERLINK("https://www.suredividend.com/sure-analysis-HI/","Hillenbrand Inc")</f>
        <v>0</v>
      </c>
      <c r="C751">
        <v>-0.108021752811889</v>
      </c>
      <c r="D751">
        <v>0.164364444491255</v>
      </c>
      <c r="E751">
        <v>0.107773705530601</v>
      </c>
      <c r="F751">
        <v>0.036325287086946</v>
      </c>
      <c r="G751">
        <v>-0.13132646566559</v>
      </c>
      <c r="H751">
        <v>0.07900766432174</v>
      </c>
      <c r="I751">
        <v>0.116883838524157</v>
      </c>
    </row>
    <row r="752" spans="1:9">
      <c r="A752" s="1" t="s">
        <v>764</v>
      </c>
      <c r="B752">
        <f>HYPERLINK("https://www.suredividend.com/sure-analysis-research-database/","Hibbett Inc")</f>
        <v>0</v>
      </c>
      <c r="C752">
        <v>0.042134831460673</v>
      </c>
      <c r="D752">
        <v>0.260848411999971</v>
      </c>
      <c r="E752">
        <v>0.524622359109234</v>
      </c>
      <c r="F752">
        <v>0.033274699501612</v>
      </c>
      <c r="G752">
        <v>0.08881007840544701</v>
      </c>
      <c r="H752">
        <v>0.359776540623541</v>
      </c>
      <c r="I752">
        <v>2.346372587184186</v>
      </c>
    </row>
    <row r="753" spans="1:9">
      <c r="A753" s="1" t="s">
        <v>765</v>
      </c>
      <c r="B753">
        <f>HYPERLINK("https://www.suredividend.com/sure-analysis-research-database/","Hingham Institution For Savings")</f>
        <v>0</v>
      </c>
      <c r="C753">
        <v>0.019430090137168</v>
      </c>
      <c r="D753">
        <v>0.149518150159651</v>
      </c>
      <c r="E753">
        <v>-0.025134679285364</v>
      </c>
      <c r="F753">
        <v>0.03634584722423501</v>
      </c>
      <c r="G753">
        <v>-0.305110773103444</v>
      </c>
      <c r="H753">
        <v>0.316170968303101</v>
      </c>
      <c r="I753">
        <v>0.482823789265743</v>
      </c>
    </row>
    <row r="754" spans="1:9">
      <c r="A754" s="1" t="s">
        <v>766</v>
      </c>
      <c r="B754">
        <f>HYPERLINK("https://www.suredividend.com/sure-analysis-research-database/","Hecla Mining Co.")</f>
        <v>0</v>
      </c>
      <c r="C754">
        <v>0.081081081081081</v>
      </c>
      <c r="D754">
        <v>0.409476379525006</v>
      </c>
      <c r="E754">
        <v>0.647446457990115</v>
      </c>
      <c r="F754">
        <v>0.07913669064748201</v>
      </c>
      <c r="G754">
        <v>0.237496132824585</v>
      </c>
      <c r="H754">
        <v>-0.002974459529071</v>
      </c>
      <c r="I754">
        <v>0.518833535844471</v>
      </c>
    </row>
    <row r="755" spans="1:9">
      <c r="A755" s="1" t="s">
        <v>767</v>
      </c>
      <c r="B755">
        <f>HYPERLINK("https://www.suredividend.com/sure-analysis-HLI/","Houlihan Lokey Inc")</f>
        <v>0</v>
      </c>
      <c r="C755">
        <v>-0.031847814470449</v>
      </c>
      <c r="D755">
        <v>0.177059106323818</v>
      </c>
      <c r="E755">
        <v>0.142820378257271</v>
      </c>
      <c r="F755">
        <v>0.039352914180816</v>
      </c>
      <c r="G755">
        <v>-0.167658206041116</v>
      </c>
      <c r="H755">
        <v>0.3205654859955041</v>
      </c>
      <c r="I755">
        <v>1.096534550352469</v>
      </c>
    </row>
    <row r="756" spans="1:9">
      <c r="A756" s="1" t="s">
        <v>768</v>
      </c>
      <c r="B756">
        <f>HYPERLINK("https://www.suredividend.com/sure-analysis-research-database/","Helios Technologies Inc")</f>
        <v>0</v>
      </c>
      <c r="C756">
        <v>0.06100549014063</v>
      </c>
      <c r="D756">
        <v>0.122288736967635</v>
      </c>
      <c r="E756">
        <v>-0.104754549222017</v>
      </c>
      <c r="F756">
        <v>0.049310027598896</v>
      </c>
      <c r="G756">
        <v>-0.4124592028483831</v>
      </c>
      <c r="H756">
        <v>0.001705516493978</v>
      </c>
      <c r="I756">
        <v>-0.137228086153138</v>
      </c>
    </row>
    <row r="757" spans="1:9">
      <c r="A757" s="1" t="s">
        <v>769</v>
      </c>
      <c r="B757">
        <f>HYPERLINK("https://www.suredividend.com/sure-analysis-research-database/","Harmonic, Inc.")</f>
        <v>0</v>
      </c>
      <c r="C757">
        <v>0.112831858407079</v>
      </c>
      <c r="D757">
        <v>0.136295180722891</v>
      </c>
      <c r="E757">
        <v>0.649180327868852</v>
      </c>
      <c r="F757">
        <v>0.151908396946564</v>
      </c>
      <c r="G757">
        <v>0.347321428571428</v>
      </c>
      <c r="H757">
        <v>0.937098844672657</v>
      </c>
      <c r="I757">
        <v>2.869230769230769</v>
      </c>
    </row>
    <row r="758" spans="1:9">
      <c r="A758" s="1" t="s">
        <v>770</v>
      </c>
      <c r="B758">
        <f>HYPERLINK("https://www.suredividend.com/sure-analysis-research-database/","Hamilton Lane Inc")</f>
        <v>0</v>
      </c>
      <c r="C758">
        <v>-0.037775476149375</v>
      </c>
      <c r="D758">
        <v>0.114120296343673</v>
      </c>
      <c r="E758">
        <v>-0.03574476427714701</v>
      </c>
      <c r="F758">
        <v>0.04711959924859101</v>
      </c>
      <c r="G758">
        <v>-0.309261615227017</v>
      </c>
      <c r="H758">
        <v>-0.133125891789125</v>
      </c>
      <c r="I758">
        <v>0.9884953252969061</v>
      </c>
    </row>
    <row r="759" spans="1:9">
      <c r="A759" s="1" t="s">
        <v>771</v>
      </c>
      <c r="B759">
        <f>HYPERLINK("https://www.suredividend.com/sure-analysis-research-database/","Cue Health Inc")</f>
        <v>0</v>
      </c>
      <c r="C759">
        <v>-0.322683706070287</v>
      </c>
      <c r="D759">
        <v>-0.372781065088757</v>
      </c>
      <c r="E759">
        <v>-0.3855072463768111</v>
      </c>
      <c r="F759">
        <v>0.02415458937198</v>
      </c>
      <c r="G759">
        <v>-0.804608294930875</v>
      </c>
      <c r="H759">
        <v>-0.894</v>
      </c>
      <c r="I759">
        <v>-0.894</v>
      </c>
    </row>
    <row r="760" spans="1:9">
      <c r="A760" s="1" t="s">
        <v>772</v>
      </c>
      <c r="B760">
        <f>HYPERLINK("https://www.suredividend.com/sure-analysis-research-database/","Helix Energy Solutions Group Inc")</f>
        <v>0</v>
      </c>
      <c r="C760">
        <v>0.286701208981001</v>
      </c>
      <c r="D760">
        <v>0.655555555555555</v>
      </c>
      <c r="E760">
        <v>1.525423728813559</v>
      </c>
      <c r="F760">
        <v>0.009485094850948001</v>
      </c>
      <c r="G760">
        <v>1.052341597796143</v>
      </c>
      <c r="H760">
        <v>0.555323590814196</v>
      </c>
      <c r="I760">
        <v>-0.09035409035409001</v>
      </c>
    </row>
    <row r="761" spans="1:9">
      <c r="A761" s="1" t="s">
        <v>773</v>
      </c>
      <c r="B761">
        <f>HYPERLINK("https://www.suredividend.com/sure-analysis-research-database/","Horace Mann Educators Corp.")</f>
        <v>0</v>
      </c>
      <c r="C761">
        <v>-0.0006422331440670001</v>
      </c>
      <c r="D761">
        <v>0.04037284456231</v>
      </c>
      <c r="E761">
        <v>0.006054179223182</v>
      </c>
      <c r="F761">
        <v>-0.004816697886004</v>
      </c>
      <c r="G761">
        <v>-0.027096882210444</v>
      </c>
      <c r="H761">
        <v>-0.07269114057244301</v>
      </c>
      <c r="I761">
        <v>-0.012629527660444</v>
      </c>
    </row>
    <row r="762" spans="1:9">
      <c r="A762" s="1" t="s">
        <v>774</v>
      </c>
      <c r="B762">
        <f>HYPERLINK("https://www.suredividend.com/sure-analysis-research-database/","Home Point Capital Inc")</f>
        <v>0</v>
      </c>
      <c r="C762">
        <v>0.270676691729323</v>
      </c>
      <c r="D762">
        <v>-0.028735632183908</v>
      </c>
      <c r="E762">
        <v>-0.572151898734177</v>
      </c>
      <c r="F762">
        <v>0.233576642335766</v>
      </c>
      <c r="G762">
        <v>-0.623825846948315</v>
      </c>
      <c r="H762">
        <v>-0.8406772630427811</v>
      </c>
      <c r="I762">
        <v>-0.8406772630427811</v>
      </c>
    </row>
    <row r="763" spans="1:9">
      <c r="A763" s="1" t="s">
        <v>775</v>
      </c>
      <c r="B763">
        <f>HYPERLINK("https://www.suredividend.com/sure-analysis-research-database/","HomeStreet Inc")</f>
        <v>0</v>
      </c>
      <c r="C763">
        <v>-0.006788138620935</v>
      </c>
      <c r="D763">
        <v>-0.013022423562491</v>
      </c>
      <c r="E763">
        <v>-0.191489114186166</v>
      </c>
      <c r="F763">
        <v>0.007976794778825</v>
      </c>
      <c r="G763">
        <v>-0.48611873614785</v>
      </c>
      <c r="H763">
        <v>-0.190434311607075</v>
      </c>
      <c r="I763">
        <v>0.022957672366527</v>
      </c>
    </row>
    <row r="764" spans="1:9">
      <c r="A764" s="1" t="s">
        <v>776</v>
      </c>
      <c r="B764">
        <f>HYPERLINK("https://www.suredividend.com/sure-analysis-research-database/","Hemisphere Media Group Inc")</f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>
      <c r="A765" s="1" t="s">
        <v>777</v>
      </c>
      <c r="B765">
        <f>HYPERLINK("https://www.suredividend.com/sure-analysis-research-database/","Hanger Inc")</f>
        <v>0</v>
      </c>
      <c r="C765">
        <v>0.003215434083601</v>
      </c>
      <c r="D765">
        <v>0.277815699658702</v>
      </c>
      <c r="E765">
        <v>0.026878771256171</v>
      </c>
      <c r="F765">
        <v>0.03254274682846101</v>
      </c>
      <c r="G765">
        <v>-0.162041181736795</v>
      </c>
      <c r="H765">
        <v>0.167810355583281</v>
      </c>
      <c r="I765">
        <v>0.4534161490683221</v>
      </c>
    </row>
    <row r="766" spans="1:9">
      <c r="A766" s="1" t="s">
        <v>778</v>
      </c>
      <c r="B766">
        <f>HYPERLINK("https://www.suredividend.com/sure-analysis-HNI/","HNI Corp.")</f>
        <v>0</v>
      </c>
      <c r="C766">
        <v>0.085067542898868</v>
      </c>
      <c r="D766">
        <v>0.08553520684340001</v>
      </c>
      <c r="E766">
        <v>-0.115344545319244</v>
      </c>
      <c r="F766">
        <v>0.045374604291241</v>
      </c>
      <c r="G766">
        <v>-0.257380592446371</v>
      </c>
      <c r="H766">
        <v>-0.07970235864977601</v>
      </c>
      <c r="I766">
        <v>-0.06379252231052901</v>
      </c>
    </row>
    <row r="767" spans="1:9">
      <c r="A767" s="1" t="s">
        <v>779</v>
      </c>
      <c r="B767">
        <f>HYPERLINK("https://www.suredividend.com/sure-analysis-research-database/","Honest Company Inc (The )")</f>
        <v>0</v>
      </c>
      <c r="C767">
        <v>0.1</v>
      </c>
      <c r="D767">
        <v>-0.110778443113772</v>
      </c>
      <c r="E767">
        <v>-0.09451219512195101</v>
      </c>
      <c r="F767">
        <v>-0.01328903654485</v>
      </c>
      <c r="G767">
        <v>-0.5816901408450701</v>
      </c>
      <c r="H767">
        <v>-0.8708695652173911</v>
      </c>
      <c r="I767">
        <v>-0.8708695652173911</v>
      </c>
    </row>
    <row r="768" spans="1:9">
      <c r="A768" s="1" t="s">
        <v>780</v>
      </c>
      <c r="B768">
        <f>HYPERLINK("https://www.suredividend.com/sure-analysis-research-database/","Hooker Furnishings Corporation")</f>
        <v>0</v>
      </c>
      <c r="C768">
        <v>0.104260657268544</v>
      </c>
      <c r="D768">
        <v>0.502395567052916</v>
      </c>
      <c r="E768">
        <v>0.246982594333629</v>
      </c>
      <c r="F768">
        <v>0.049732620320855</v>
      </c>
      <c r="G768">
        <v>-0.09835839679579601</v>
      </c>
      <c r="H768">
        <v>-0.350150627338034</v>
      </c>
      <c r="I768">
        <v>-0.445854352569875</v>
      </c>
    </row>
    <row r="769" spans="1:9">
      <c r="A769" s="1" t="s">
        <v>781</v>
      </c>
      <c r="B769">
        <f>HYPERLINK("https://www.suredividend.com/sure-analysis-research-database/","Hall of Fame Resort &amp; Entertainment Company")</f>
        <v>0</v>
      </c>
      <c r="C769">
        <v>-0.116703158273597</v>
      </c>
      <c r="D769">
        <v>-0.09719348262595601</v>
      </c>
      <c r="E769">
        <v>-0.137198605455131</v>
      </c>
      <c r="F769">
        <v>0.461538461538461</v>
      </c>
      <c r="G769">
        <v>-0.6611047180667431</v>
      </c>
      <c r="H769">
        <v>-0.723992502343017</v>
      </c>
      <c r="I769">
        <v>-0.942393271064599</v>
      </c>
    </row>
    <row r="770" spans="1:9">
      <c r="A770" s="1" t="s">
        <v>782</v>
      </c>
      <c r="B770">
        <f>HYPERLINK("https://www.suredividend.com/sure-analysis-research-database/","Home Bancshares Inc")</f>
        <v>0</v>
      </c>
      <c r="C770">
        <v>-0.05665127989928601</v>
      </c>
      <c r="D770">
        <v>-0.035184851372114</v>
      </c>
      <c r="E770">
        <v>0.059218214029929</v>
      </c>
      <c r="F770">
        <v>-0.013602457218078</v>
      </c>
      <c r="G770">
        <v>-0.103099652491013</v>
      </c>
      <c r="H770">
        <v>0.137628792939414</v>
      </c>
      <c r="I770">
        <v>0.068466455951899</v>
      </c>
    </row>
    <row r="771" spans="1:9">
      <c r="A771" s="1" t="s">
        <v>783</v>
      </c>
      <c r="B771">
        <f>HYPERLINK("https://www.suredividend.com/sure-analysis-research-database/","HarborOne Bancorp Inc.")</f>
        <v>0</v>
      </c>
      <c r="C771">
        <v>-0.023029589448158</v>
      </c>
      <c r="D771">
        <v>0.023352102129658</v>
      </c>
      <c r="E771">
        <v>0.010137607698494</v>
      </c>
      <c r="F771">
        <v>0.002877697841726</v>
      </c>
      <c r="G771">
        <v>-0.071452836598346</v>
      </c>
      <c r="H771">
        <v>0.292655786350148</v>
      </c>
      <c r="I771">
        <v>0.454052362574319</v>
      </c>
    </row>
    <row r="772" spans="1:9">
      <c r="A772" s="1" t="s">
        <v>784</v>
      </c>
      <c r="B772">
        <f>HYPERLINK("https://www.suredividend.com/sure-analysis-research-database/","Hookipa Pharma Inc")</f>
        <v>0</v>
      </c>
      <c r="C772">
        <v>0.14102564102564</v>
      </c>
      <c r="D772">
        <v>-0.355072463768115</v>
      </c>
      <c r="E772">
        <v>-0.5240641711229941</v>
      </c>
      <c r="F772">
        <v>0.09876543209876501</v>
      </c>
      <c r="G772">
        <v>-0.586046511627907</v>
      </c>
      <c r="H772">
        <v>-0.9190909090909091</v>
      </c>
      <c r="I772">
        <v>-0.9364285714285711</v>
      </c>
    </row>
    <row r="773" spans="1:9">
      <c r="A773" s="1" t="s">
        <v>785</v>
      </c>
      <c r="B773">
        <f>HYPERLINK("https://www.suredividend.com/sure-analysis-research-database/","Hope Bancorp Inc")</f>
        <v>0</v>
      </c>
      <c r="C773">
        <v>-0.04848484848484801</v>
      </c>
      <c r="D773">
        <v>-0.030362919101696</v>
      </c>
      <c r="E773">
        <v>-0.09001992392682401</v>
      </c>
      <c r="F773">
        <v>-0.01951600312256</v>
      </c>
      <c r="G773">
        <v>-0.190904113118819</v>
      </c>
      <c r="H773">
        <v>0.137197026628156</v>
      </c>
      <c r="I773">
        <v>-0.1528224636948</v>
      </c>
    </row>
    <row r="774" spans="1:9">
      <c r="A774" s="1" t="s">
        <v>786</v>
      </c>
      <c r="B774">
        <f>HYPERLINK("https://www.suredividend.com/sure-analysis-research-database/","Hovnanian Enterprises, Inc.")</f>
        <v>0</v>
      </c>
      <c r="C774">
        <v>0.042914406979486</v>
      </c>
      <c r="D774">
        <v>0.096702206793949</v>
      </c>
      <c r="E774">
        <v>-0.030043859649122</v>
      </c>
      <c r="F774">
        <v>0.051093155893536</v>
      </c>
      <c r="G774">
        <v>-0.6065996620119181</v>
      </c>
      <c r="H774">
        <v>0.3904432568374721</v>
      </c>
      <c r="I774">
        <v>-0.421830065359477</v>
      </c>
    </row>
    <row r="775" spans="1:9">
      <c r="A775" s="1" t="s">
        <v>787</v>
      </c>
      <c r="B775">
        <f>HYPERLINK("https://www.suredividend.com/sure-analysis-research-database/","Werewolf Therapeutics Inc")</f>
        <v>0</v>
      </c>
      <c r="C775">
        <v>0.162011173184357</v>
      </c>
      <c r="D775">
        <v>-0.4926829268292681</v>
      </c>
      <c r="E775">
        <v>-0.58893280632411</v>
      </c>
      <c r="F775">
        <v>0.014634146341463</v>
      </c>
      <c r="G775">
        <v>-0.812274368231046</v>
      </c>
      <c r="H775">
        <v>-0.8708074534161491</v>
      </c>
      <c r="I775">
        <v>-0.8708074534161491</v>
      </c>
    </row>
    <row r="776" spans="1:9">
      <c r="A776" s="1" t="s">
        <v>788</v>
      </c>
      <c r="B776">
        <f>HYPERLINK("https://www.suredividend.com/sure-analysis-HP/","Helmerich &amp; Payne, Inc.")</f>
        <v>0</v>
      </c>
      <c r="C776">
        <v>0.061366181410974</v>
      </c>
      <c r="D776">
        <v>0.09972222673445801</v>
      </c>
      <c r="E776">
        <v>0.114555306779055</v>
      </c>
      <c r="F776">
        <v>-0.043978212628606</v>
      </c>
      <c r="G776">
        <v>0.7474962018968391</v>
      </c>
      <c r="H776">
        <v>0.9864274067460561</v>
      </c>
      <c r="I776">
        <v>-0.106395335681583</v>
      </c>
    </row>
    <row r="777" spans="1:9">
      <c r="A777" s="1" t="s">
        <v>789</v>
      </c>
      <c r="B777">
        <f>HYPERLINK("https://www.suredividend.com/sure-analysis-research-database/","HighPeak Energy Inc")</f>
        <v>0</v>
      </c>
      <c r="C777">
        <v>0.189003436426116</v>
      </c>
      <c r="D777">
        <v>0.015373134954073</v>
      </c>
      <c r="E777">
        <v>0.008796774516010001</v>
      </c>
      <c r="F777">
        <v>0.059029296020988</v>
      </c>
      <c r="G777">
        <v>0.358986875845158</v>
      </c>
      <c r="H777">
        <v>0.373436312703435</v>
      </c>
      <c r="I777">
        <v>2.593151944930718</v>
      </c>
    </row>
    <row r="778" spans="1:9">
      <c r="A778" s="1" t="s">
        <v>790</v>
      </c>
      <c r="B778">
        <f>HYPERLINK("https://www.suredividend.com/sure-analysis-research-database/","HireQuest Inc")</f>
        <v>0</v>
      </c>
      <c r="C778">
        <v>0.002274019329164</v>
      </c>
      <c r="D778">
        <v>0.36110617863457</v>
      </c>
      <c r="E778">
        <v>0.197486839870945</v>
      </c>
      <c r="F778">
        <v>0.115117014547754</v>
      </c>
      <c r="G778">
        <v>-0.07265678833115001</v>
      </c>
      <c r="H778">
        <v>0.8477953275827731</v>
      </c>
      <c r="I778">
        <v>29.39655172413793</v>
      </c>
    </row>
    <row r="779" spans="1:9">
      <c r="A779" s="1" t="s">
        <v>791</v>
      </c>
      <c r="B779">
        <f>HYPERLINK("https://www.suredividend.com/sure-analysis-research-database/","Healthequity Inc")</f>
        <v>0</v>
      </c>
      <c r="C779">
        <v>-0.07341650671785001</v>
      </c>
      <c r="D779">
        <v>-0.139483065953654</v>
      </c>
      <c r="E779">
        <v>-0.116112297833384</v>
      </c>
      <c r="F779">
        <v>-0.06018818948734501</v>
      </c>
      <c r="G779">
        <v>0.275991189427312</v>
      </c>
      <c r="H779">
        <v>-0.230370665603826</v>
      </c>
      <c r="I779">
        <v>0.172434729811779</v>
      </c>
    </row>
    <row r="780" spans="1:9">
      <c r="A780" s="1" t="s">
        <v>792</v>
      </c>
      <c r="B780">
        <f>HYPERLINK("https://www.suredividend.com/sure-analysis-HR/","Healthcare Realty Trust Inc")</f>
        <v>0</v>
      </c>
      <c r="C780">
        <v>0.054850177755205</v>
      </c>
      <c r="D780">
        <v>0.075446981033402</v>
      </c>
      <c r="E780">
        <v>-0.137085784558114</v>
      </c>
      <c r="F780">
        <v>0.07784120394395401</v>
      </c>
      <c r="G780">
        <v>-0.239737184062665</v>
      </c>
      <c r="H780">
        <v>-0.017265281595843</v>
      </c>
      <c r="I780">
        <v>0.069835481245686</v>
      </c>
    </row>
    <row r="781" spans="1:9">
      <c r="A781" s="1" t="s">
        <v>793</v>
      </c>
      <c r="B781">
        <f>HYPERLINK("https://www.suredividend.com/sure-analysis-research-database/","Herc Holdings Inc")</f>
        <v>0</v>
      </c>
      <c r="C781">
        <v>0.08039079929225301</v>
      </c>
      <c r="D781">
        <v>0.262686202159261</v>
      </c>
      <c r="E781">
        <v>0.53159264259712</v>
      </c>
      <c r="F781">
        <v>0.06741658432773401</v>
      </c>
      <c r="G781">
        <v>-0.09326215789918801</v>
      </c>
      <c r="H781">
        <v>1.092783443704661</v>
      </c>
      <c r="I781">
        <v>1.271870637317627</v>
      </c>
    </row>
    <row r="782" spans="1:9">
      <c r="A782" s="1" t="s">
        <v>794</v>
      </c>
      <c r="B782">
        <f>HYPERLINK("https://www.suredividend.com/sure-analysis-research-database/","Harmony Biosciences Holdings Inc")</f>
        <v>0</v>
      </c>
      <c r="C782">
        <v>-0.237336947314924</v>
      </c>
      <c r="D782">
        <v>-0.04840414288733801</v>
      </c>
      <c r="E782">
        <v>-0.177716894977168</v>
      </c>
      <c r="F782">
        <v>-0.182940108892921</v>
      </c>
      <c r="G782">
        <v>0.185985247629083</v>
      </c>
      <c r="H782">
        <v>0.223369565217391</v>
      </c>
      <c r="I782">
        <v>0.216427992434477</v>
      </c>
    </row>
    <row r="783" spans="1:9">
      <c r="A783" s="1" t="s">
        <v>795</v>
      </c>
      <c r="B783">
        <f>HYPERLINK("https://www.suredividend.com/sure-analysis-research-database/","HireRight Holdings Corp")</f>
        <v>0</v>
      </c>
      <c r="C783">
        <v>-0.023121387283236</v>
      </c>
      <c r="D783">
        <v>-0.210280373831775</v>
      </c>
      <c r="E783">
        <v>-0.19850948509485</v>
      </c>
      <c r="F783">
        <v>-0.002529510961214</v>
      </c>
      <c r="G783">
        <v>-0.165726375176304</v>
      </c>
      <c r="H783">
        <v>-0.314202898550724</v>
      </c>
      <c r="I783">
        <v>-0.314202898550724</v>
      </c>
    </row>
    <row r="784" spans="1:9">
      <c r="A784" s="1" t="s">
        <v>796</v>
      </c>
      <c r="B784">
        <f>HYPERLINK("https://www.suredividend.com/sure-analysis-research-database/","Heritage Insurance Holdings Inc.")</f>
        <v>0</v>
      </c>
      <c r="C784">
        <v>0.277419354838709</v>
      </c>
      <c r="D784">
        <v>-0.014925373134328</v>
      </c>
      <c r="E784">
        <v>-0.297872340425531</v>
      </c>
      <c r="F784">
        <v>0.09999999999999901</v>
      </c>
      <c r="G784">
        <v>-0.689742705819674</v>
      </c>
      <c r="H784">
        <v>-0.8010130246020261</v>
      </c>
      <c r="I784">
        <v>-0.8709727869878011</v>
      </c>
    </row>
    <row r="785" spans="1:9">
      <c r="A785" s="1" t="s">
        <v>797</v>
      </c>
      <c r="B785">
        <f>HYPERLINK("https://www.suredividend.com/sure-analysis-research-database/","Heron Therapeutics Inc")</f>
        <v>0</v>
      </c>
      <c r="C785">
        <v>-0.03731343283582</v>
      </c>
      <c r="D785">
        <v>-0.3842482100238661</v>
      </c>
      <c r="E785">
        <v>-0.220543806646525</v>
      </c>
      <c r="F785">
        <v>0.032</v>
      </c>
      <c r="G785">
        <v>-0.703448275862068</v>
      </c>
      <c r="H785">
        <v>-0.8685015290519871</v>
      </c>
      <c r="I785">
        <v>-0.8627659574468081</v>
      </c>
    </row>
    <row r="786" spans="1:9">
      <c r="A786" s="1" t="s">
        <v>798</v>
      </c>
      <c r="B786">
        <f>HYPERLINK("https://www.suredividend.com/sure-analysis-research-database/","Harsco Corp.")</f>
        <v>0</v>
      </c>
      <c r="C786">
        <v>0.027737226277372</v>
      </c>
      <c r="D786">
        <v>0.5963718820861671</v>
      </c>
      <c r="E786">
        <v>0.073170731707317</v>
      </c>
      <c r="F786">
        <v>0.119236883942766</v>
      </c>
      <c r="G786">
        <v>-0.569418960244648</v>
      </c>
      <c r="H786">
        <v>-0.6281035393555201</v>
      </c>
      <c r="I786">
        <v>-0.631413612565445</v>
      </c>
    </row>
    <row r="787" spans="1:9">
      <c r="A787" s="1" t="s">
        <v>799</v>
      </c>
      <c r="B787">
        <f>HYPERLINK("https://www.suredividend.com/sure-analysis-research-database/","Heidrick &amp; Struggles International, Inc.")</f>
        <v>0</v>
      </c>
      <c r="C787">
        <v>-0.008252601363473</v>
      </c>
      <c r="D787">
        <v>0.024033670108516</v>
      </c>
      <c r="E787">
        <v>-0.129232155402446</v>
      </c>
      <c r="F787">
        <v>-0.011798355380765</v>
      </c>
      <c r="G787">
        <v>-0.374973146910707</v>
      </c>
      <c r="H787">
        <v>-0.08071666849592</v>
      </c>
      <c r="I787">
        <v>0.157812722535459</v>
      </c>
    </row>
    <row r="788" spans="1:9">
      <c r="A788" s="1" t="s">
        <v>800</v>
      </c>
      <c r="B788">
        <f>HYPERLINK("https://www.suredividend.com/sure-analysis-research-database/","Heska Corp.")</f>
        <v>0</v>
      </c>
      <c r="C788">
        <v>0.008540605334132001</v>
      </c>
      <c r="D788">
        <v>-0.112590639419907</v>
      </c>
      <c r="E788">
        <v>-0.314771454749058</v>
      </c>
      <c r="F788">
        <v>0.082850707850707</v>
      </c>
      <c r="G788">
        <v>-0.5524005851842</v>
      </c>
      <c r="H788">
        <v>-0.561755322612149</v>
      </c>
      <c r="I788">
        <v>-0.14786681858463</v>
      </c>
    </row>
    <row r="789" spans="1:9">
      <c r="A789" s="1" t="s">
        <v>801</v>
      </c>
      <c r="B789">
        <f>HYPERLINK("https://www.suredividend.com/sure-analysis-research-database/","Healthstream Inc")</f>
        <v>0</v>
      </c>
      <c r="C789">
        <v>-0.048406615570794</v>
      </c>
      <c r="D789">
        <v>0.112735849056603</v>
      </c>
      <c r="E789">
        <v>0.065973791233619</v>
      </c>
      <c r="F789">
        <v>-0.050322061191626</v>
      </c>
      <c r="G789">
        <v>-0.07923497267759501</v>
      </c>
      <c r="H789">
        <v>-0.04183590576766801</v>
      </c>
      <c r="I789">
        <v>0.042536736272235</v>
      </c>
    </row>
    <row r="790" spans="1:9">
      <c r="A790" s="1" t="s">
        <v>802</v>
      </c>
      <c r="B790">
        <f>HYPERLINK("https://www.suredividend.com/sure-analysis-research-database/","Hersha Hospitality Trust")</f>
        <v>0</v>
      </c>
      <c r="C790">
        <v>-0.100113740270746</v>
      </c>
      <c r="D790">
        <v>0.08717617103827301</v>
      </c>
      <c r="E790">
        <v>-0.103104126610133</v>
      </c>
      <c r="F790">
        <v>-0.05281690140845</v>
      </c>
      <c r="G790">
        <v>-0.119591542842181</v>
      </c>
      <c r="H790">
        <v>0.09798906092682701</v>
      </c>
      <c r="I790">
        <v>-0.403560896654176</v>
      </c>
    </row>
    <row r="791" spans="1:9">
      <c r="A791" s="1" t="s">
        <v>803</v>
      </c>
      <c r="B791">
        <f>HYPERLINK("https://www.suredividend.com/sure-analysis-research-database/","HomeTrust Bancshares Inc")</f>
        <v>0</v>
      </c>
      <c r="C791">
        <v>-0.032753740396279</v>
      </c>
      <c r="D791">
        <v>0.09620681279702301</v>
      </c>
      <c r="E791">
        <v>-0.051824603407406</v>
      </c>
      <c r="F791">
        <v>-0.010343400910219</v>
      </c>
      <c r="G791">
        <v>-0.247907535387962</v>
      </c>
      <c r="H791">
        <v>0.196011960119601</v>
      </c>
      <c r="I791">
        <v>0.008644317942230001</v>
      </c>
    </row>
    <row r="792" spans="1:9">
      <c r="A792" s="1" t="s">
        <v>804</v>
      </c>
      <c r="B792">
        <f>HYPERLINK("https://www.suredividend.com/sure-analysis-research-database/","Heritage Commerce Corp.")</f>
        <v>0</v>
      </c>
      <c r="C792">
        <v>-0.043639053254437</v>
      </c>
      <c r="D792">
        <v>0.08639029390512301</v>
      </c>
      <c r="E792">
        <v>0.204808050689526</v>
      </c>
      <c r="F792">
        <v>-0.005384615384615</v>
      </c>
      <c r="G792">
        <v>0.09756718673072601</v>
      </c>
      <c r="H792">
        <v>0.4781535084710881</v>
      </c>
      <c r="I792">
        <v>0.030820989524371</v>
      </c>
    </row>
    <row r="793" spans="1:9">
      <c r="A793" s="1" t="s">
        <v>805</v>
      </c>
      <c r="B793">
        <f>HYPERLINK("https://www.suredividend.com/sure-analysis-research-database/","Hilltop Holdings Inc")</f>
        <v>0</v>
      </c>
      <c r="C793">
        <v>0.04065323141070101</v>
      </c>
      <c r="D793">
        <v>0.190613434253888</v>
      </c>
      <c r="E793">
        <v>0.13643693818466</v>
      </c>
      <c r="F793">
        <v>-0.001999333555481</v>
      </c>
      <c r="G793">
        <v>-0.17641267911993</v>
      </c>
      <c r="H793">
        <v>0.09579317864172801</v>
      </c>
      <c r="I793">
        <v>0.234349112669903</v>
      </c>
    </row>
    <row r="794" spans="1:9">
      <c r="A794" s="1" t="s">
        <v>806</v>
      </c>
      <c r="B794">
        <f>HYPERLINK("https://www.suredividend.com/sure-analysis-research-database/","Heartland Express, Inc.")</f>
        <v>0</v>
      </c>
      <c r="C794">
        <v>-0.010526315789473</v>
      </c>
      <c r="D794">
        <v>0.117294999440653</v>
      </c>
      <c r="E794">
        <v>0.143625967036663</v>
      </c>
      <c r="F794">
        <v>0.041720990873533</v>
      </c>
      <c r="G794">
        <v>-0.014237421965603</v>
      </c>
      <c r="H794">
        <v>-0.146891599711715</v>
      </c>
      <c r="I794">
        <v>-0.303500368299242</v>
      </c>
    </row>
    <row r="795" spans="1:9">
      <c r="A795" s="1" t="s">
        <v>807</v>
      </c>
      <c r="B795">
        <f>HYPERLINK("https://www.suredividend.com/sure-analysis-research-database/","Heartland Financial USA, Inc.")</f>
        <v>0</v>
      </c>
      <c r="C795">
        <v>-0.014743589743589</v>
      </c>
      <c r="D795">
        <v>0.104129650825882</v>
      </c>
      <c r="E795">
        <v>0.122069806320676</v>
      </c>
      <c r="F795">
        <v>-0.01093951093951</v>
      </c>
      <c r="G795">
        <v>-0.113049198743534</v>
      </c>
      <c r="H795">
        <v>0.107417850298049</v>
      </c>
      <c r="I795">
        <v>-0.037891749780912</v>
      </c>
    </row>
    <row r="796" spans="1:9">
      <c r="A796" s="1" t="s">
        <v>808</v>
      </c>
      <c r="B796">
        <f>HYPERLINK("https://www.suredividend.com/sure-analysis-research-database/","Hub Group, Inc.")</f>
        <v>0</v>
      </c>
      <c r="C796">
        <v>0.026740020470829</v>
      </c>
      <c r="D796">
        <v>0.135720350976507</v>
      </c>
      <c r="E796">
        <v>0.136041902604756</v>
      </c>
      <c r="F796">
        <v>0.009560951063026001</v>
      </c>
      <c r="G796">
        <v>-0.001617317740731</v>
      </c>
      <c r="H796">
        <v>0.37109174782163</v>
      </c>
      <c r="I796">
        <v>0.578171091445427</v>
      </c>
    </row>
    <row r="797" spans="1:9">
      <c r="A797" s="1" t="s">
        <v>809</v>
      </c>
      <c r="B797">
        <f>HYPERLINK("https://www.suredividend.com/sure-analysis-research-database/","Huron Consulting Group Inc")</f>
        <v>0</v>
      </c>
      <c r="C797">
        <v>-0.09960369881109601</v>
      </c>
      <c r="D797">
        <v>-0.003217315004387</v>
      </c>
      <c r="E797">
        <v>0.06917647058823501</v>
      </c>
      <c r="F797">
        <v>-0.06115702479338801</v>
      </c>
      <c r="G797">
        <v>0.3714285714285711</v>
      </c>
      <c r="H797">
        <v>0.15368991198375</v>
      </c>
      <c r="I797">
        <v>0.6976338729763381</v>
      </c>
    </row>
    <row r="798" spans="1:9">
      <c r="A798" s="1" t="s">
        <v>810</v>
      </c>
      <c r="B798">
        <f>HYPERLINK("https://www.suredividend.com/sure-analysis-research-database/","Haverty Furniture Cos., Inc.")</f>
        <v>0</v>
      </c>
      <c r="C798">
        <v>0.05249597423510401</v>
      </c>
      <c r="D798">
        <v>0.303550059832468</v>
      </c>
      <c r="E798">
        <v>0.327036542233303</v>
      </c>
      <c r="F798">
        <v>0.09297658862876201</v>
      </c>
      <c r="G798">
        <v>0.11109977798404</v>
      </c>
      <c r="H798">
        <v>0.118630259838503</v>
      </c>
      <c r="I798">
        <v>0.7260502603864071</v>
      </c>
    </row>
    <row r="799" spans="1:9">
      <c r="A799" s="1" t="s">
        <v>811</v>
      </c>
      <c r="B799">
        <f>HYPERLINK("https://www.suredividend.com/sure-analysis-research-database/","Hancock Whitney Corp.")</f>
        <v>0</v>
      </c>
      <c r="C799">
        <v>-0.050766283524904</v>
      </c>
      <c r="D799">
        <v>0.046584080516216</v>
      </c>
      <c r="E799">
        <v>0.118755122453449</v>
      </c>
      <c r="F799">
        <v>0.023971895019632</v>
      </c>
      <c r="G799">
        <v>-0.06817639016611</v>
      </c>
      <c r="H799">
        <v>0.361641554387343</v>
      </c>
      <c r="I799">
        <v>-0.042671169622053</v>
      </c>
    </row>
    <row r="800" spans="1:9">
      <c r="A800" s="1" t="s">
        <v>812</v>
      </c>
      <c r="B800">
        <f>HYPERLINK("https://www.suredividend.com/sure-analysis-research-database/","Hawkins Inc")</f>
        <v>0</v>
      </c>
      <c r="C800">
        <v>-0.07059408401690201</v>
      </c>
      <c r="D800">
        <v>-0.007032303982493</v>
      </c>
      <c r="E800">
        <v>0.095565290006885</v>
      </c>
      <c r="F800">
        <v>-0.031347150259067</v>
      </c>
      <c r="G800">
        <v>-0.04906992476996001</v>
      </c>
      <c r="H800">
        <v>0.38821852096622</v>
      </c>
      <c r="I800">
        <v>1.334453005007305</v>
      </c>
    </row>
    <row r="801" spans="1:9">
      <c r="A801" s="1" t="s">
        <v>813</v>
      </c>
      <c r="B801">
        <f>HYPERLINK("https://www.suredividend.com/sure-analysis-research-database/","Hyster-Yale Materials Handling Inc")</f>
        <v>0</v>
      </c>
      <c r="C801">
        <v>0.026023594725884</v>
      </c>
      <c r="D801">
        <v>0.3987899544459</v>
      </c>
      <c r="E801">
        <v>-0.063493672168944</v>
      </c>
      <c r="F801">
        <v>0.168312919794547</v>
      </c>
      <c r="G801">
        <v>-0.322651212332924</v>
      </c>
      <c r="H801">
        <v>-0.5275754089979551</v>
      </c>
      <c r="I801">
        <v>-0.609689005162348</v>
      </c>
    </row>
    <row r="802" spans="1:9">
      <c r="A802" s="1" t="s">
        <v>814</v>
      </c>
      <c r="B802">
        <f>HYPERLINK("https://www.suredividend.com/sure-analysis-research-database/","Hydrofarm Holdings Group Inc")</f>
        <v>0</v>
      </c>
      <c r="C802">
        <v>-0.462882096069868</v>
      </c>
      <c r="D802">
        <v>-0.4743589743589741</v>
      </c>
      <c r="E802">
        <v>-0.6573816155988851</v>
      </c>
      <c r="F802">
        <v>-0.206451612903225</v>
      </c>
      <c r="G802">
        <v>-0.9478150190920661</v>
      </c>
      <c r="H802">
        <v>-0.9809183990071361</v>
      </c>
      <c r="I802">
        <v>-0.9763416041546451</v>
      </c>
    </row>
    <row r="803" spans="1:9">
      <c r="A803" s="1" t="s">
        <v>815</v>
      </c>
      <c r="B803">
        <f>HYPERLINK("https://www.suredividend.com/sure-analysis-research-database/","Hyliion Holdings Corporation")</f>
        <v>0</v>
      </c>
      <c r="C803">
        <v>-0.157894736842105</v>
      </c>
      <c r="D803">
        <v>-0.114624505928853</v>
      </c>
      <c r="E803">
        <v>-0.389645776566757</v>
      </c>
      <c r="F803">
        <v>-0.042735042735042</v>
      </c>
      <c r="G803">
        <v>-0.615120274914089</v>
      </c>
      <c r="H803">
        <v>-0.8702953097857551</v>
      </c>
      <c r="I803">
        <v>-0.7690721649484531</v>
      </c>
    </row>
    <row r="804" spans="1:9">
      <c r="A804" s="1" t="s">
        <v>816</v>
      </c>
      <c r="B804">
        <f>HYPERLINK("https://www.suredividend.com/sure-analysis-research-database/","HyreCar Inc")</f>
        <v>0</v>
      </c>
      <c r="C804">
        <v>-0.07887161773172101</v>
      </c>
      <c r="D804">
        <v>-0.430807541800071</v>
      </c>
      <c r="E804">
        <v>-0.345246214704678</v>
      </c>
      <c r="F804">
        <v>0.132075471698113</v>
      </c>
      <c r="G804">
        <v>-0.876606683804627</v>
      </c>
      <c r="H804">
        <v>-0.9389312977099231</v>
      </c>
      <c r="I804">
        <v>-0.905882352941176</v>
      </c>
    </row>
    <row r="805" spans="1:9">
      <c r="A805" s="1" t="s">
        <v>817</v>
      </c>
      <c r="B805">
        <f>HYPERLINK("https://www.suredividend.com/sure-analysis-research-database/","Marinemax, Inc.")</f>
        <v>0</v>
      </c>
      <c r="C805">
        <v>-0.008623344625808001</v>
      </c>
      <c r="D805">
        <v>0.102019856213625</v>
      </c>
      <c r="E805">
        <v>-0.177987742594484</v>
      </c>
      <c r="F805">
        <v>0.031069827033952</v>
      </c>
      <c r="G805">
        <v>-0.4302654867256631</v>
      </c>
      <c r="H805">
        <v>-0.131642837874291</v>
      </c>
      <c r="I805">
        <v>0.7306451612903221</v>
      </c>
    </row>
    <row r="806" spans="1:9">
      <c r="A806" s="1" t="s">
        <v>818</v>
      </c>
      <c r="B806">
        <f>HYPERLINK("https://www.suredividend.com/sure-analysis-research-database/","Integral Ad Science Holding Corp")</f>
        <v>0</v>
      </c>
      <c r="C806">
        <v>0.021645021645021</v>
      </c>
      <c r="D806">
        <v>0.251989389920424</v>
      </c>
      <c r="E806">
        <v>-0.085271317829457</v>
      </c>
      <c r="F806">
        <v>0.07394766780432301</v>
      </c>
      <c r="G806">
        <v>-0.512899896800825</v>
      </c>
      <c r="H806">
        <v>-0.541302235179786</v>
      </c>
      <c r="I806">
        <v>-0.541302235179786</v>
      </c>
    </row>
    <row r="807" spans="1:9">
      <c r="A807" s="1" t="s">
        <v>819</v>
      </c>
      <c r="B807">
        <f>HYPERLINK("https://www.suredividend.com/sure-analysis-research-database/","Independent Bank Corporation (Ionia, MI)")</f>
        <v>0</v>
      </c>
      <c r="C807">
        <v>0.008424599831508001</v>
      </c>
      <c r="D807">
        <v>0.255783212161269</v>
      </c>
      <c r="E807">
        <v>0.254861671681221</v>
      </c>
      <c r="F807">
        <v>0.0008361204013370001</v>
      </c>
      <c r="G807">
        <v>-0.016256019987179</v>
      </c>
      <c r="H807">
        <v>0.310294624727022</v>
      </c>
      <c r="I807">
        <v>0.247414246783765</v>
      </c>
    </row>
    <row r="808" spans="1:9">
      <c r="A808" s="1" t="s">
        <v>820</v>
      </c>
      <c r="B808">
        <f>HYPERLINK("https://www.suredividend.com/sure-analysis-research-database/","IBEX Ltd")</f>
        <v>0</v>
      </c>
      <c r="C808">
        <v>-0.038062283737024</v>
      </c>
      <c r="D808">
        <v>0.438757906843013</v>
      </c>
      <c r="E808">
        <v>0.415959252971137</v>
      </c>
      <c r="F808">
        <v>0.006841046277666</v>
      </c>
      <c r="G808">
        <v>0.7884203002144381</v>
      </c>
      <c r="H808">
        <v>0.367213114754098</v>
      </c>
      <c r="I808">
        <v>0.6246753246753241</v>
      </c>
    </row>
    <row r="809" spans="1:9">
      <c r="A809" s="1" t="s">
        <v>821</v>
      </c>
      <c r="B809">
        <f>HYPERLINK("https://www.suredividend.com/sure-analysis-research-database/","iBio Inc")</f>
        <v>0</v>
      </c>
      <c r="C809">
        <v>-0.09090909090909001</v>
      </c>
      <c r="D809">
        <v>-0.8434661076170511</v>
      </c>
      <c r="E809">
        <v>-0.9220327184128081</v>
      </c>
      <c r="F809">
        <v>0.26012601260126</v>
      </c>
      <c r="G809">
        <v>-0.9573252048009141</v>
      </c>
      <c r="H809">
        <v>-0.9813333333333331</v>
      </c>
      <c r="I809">
        <v>-0.9882229232386961</v>
      </c>
    </row>
    <row r="810" spans="1:9">
      <c r="A810" s="1" t="s">
        <v>822</v>
      </c>
      <c r="B810">
        <f>HYPERLINK("https://www.suredividend.com/sure-analysis-research-database/","International Bancshares Corp.")</f>
        <v>0</v>
      </c>
      <c r="C810">
        <v>-0.04991645781119401</v>
      </c>
      <c r="D810">
        <v>0.04072294669412</v>
      </c>
      <c r="E810">
        <v>0.138174766998186</v>
      </c>
      <c r="F810">
        <v>-0.005900349650349</v>
      </c>
      <c r="G810">
        <v>0.03563598613081</v>
      </c>
      <c r="H810">
        <v>0.196985564601434</v>
      </c>
      <c r="I810">
        <v>0.29856412891439</v>
      </c>
    </row>
    <row r="811" spans="1:9">
      <c r="A811" s="1" t="s">
        <v>823</v>
      </c>
      <c r="B811">
        <f>HYPERLINK("https://www.suredividend.com/sure-analysis-research-database/","Installed Building Products Inc")</f>
        <v>0</v>
      </c>
      <c r="C811">
        <v>0.071290202038958</v>
      </c>
      <c r="D811">
        <v>0.08542526813348801</v>
      </c>
      <c r="E811">
        <v>0.04483885825697601</v>
      </c>
      <c r="F811">
        <v>0.09182242990654201</v>
      </c>
      <c r="G811">
        <v>-0.210869833206962</v>
      </c>
      <c r="H811">
        <v>-0.096747382104078</v>
      </c>
      <c r="I811">
        <v>0.264317591817243</v>
      </c>
    </row>
    <row r="812" spans="1:9">
      <c r="A812" s="1" t="s">
        <v>824</v>
      </c>
      <c r="B812">
        <f>HYPERLINK("https://www.suredividend.com/sure-analysis-research-database/","ImmunityBio Inc")</f>
        <v>0</v>
      </c>
      <c r="C812">
        <v>-0.307317073170731</v>
      </c>
      <c r="D812">
        <v>-0.16796875</v>
      </c>
      <c r="E812">
        <v>-0.108786610878661</v>
      </c>
      <c r="F812">
        <v>-0.159763313609467</v>
      </c>
      <c r="G812">
        <v>-0.319488817891373</v>
      </c>
      <c r="H812">
        <v>-0.701471618780658</v>
      </c>
      <c r="I812">
        <v>-0.06783369803063401</v>
      </c>
    </row>
    <row r="813" spans="1:9">
      <c r="A813" s="1" t="s">
        <v>825</v>
      </c>
      <c r="B813">
        <f>HYPERLINK("https://www.suredividend.com/sure-analysis-research-database/","Independent Bank Group Inc")</f>
        <v>0</v>
      </c>
      <c r="C813">
        <v>-0.072996183206106</v>
      </c>
      <c r="D813">
        <v>-0.08490924447319001</v>
      </c>
      <c r="E813">
        <v>-0.141565799298113</v>
      </c>
      <c r="F813">
        <v>-0.02979360852197</v>
      </c>
      <c r="G813">
        <v>-0.225017483307762</v>
      </c>
      <c r="H813">
        <v>-0.078769986455753</v>
      </c>
      <c r="I813">
        <v>-0.08642664142284801</v>
      </c>
    </row>
    <row r="814" spans="1:9">
      <c r="A814" s="1" t="s">
        <v>826</v>
      </c>
      <c r="B814">
        <f>HYPERLINK("https://www.suredividend.com/sure-analysis-research-database/","Icad Inc")</f>
        <v>0</v>
      </c>
      <c r="C814">
        <v>0.169696969696969</v>
      </c>
      <c r="D814">
        <v>-0.08095238095238101</v>
      </c>
      <c r="E814">
        <v>-0.5469483568075111</v>
      </c>
      <c r="F814">
        <v>0.054644808743169</v>
      </c>
      <c r="G814">
        <v>-0.685667752442996</v>
      </c>
      <c r="H814">
        <v>-0.85003885003885</v>
      </c>
      <c r="I814">
        <v>-0.4697802197802191</v>
      </c>
    </row>
    <row r="815" spans="1:9">
      <c r="A815" s="1" t="s">
        <v>827</v>
      </c>
      <c r="B815">
        <f>HYPERLINK("https://www.suredividend.com/sure-analysis-research-database/","ICF International, Inc")</f>
        <v>0</v>
      </c>
      <c r="C815">
        <v>-0.07348004475941801</v>
      </c>
      <c r="D815">
        <v>-0.118138078488906</v>
      </c>
      <c r="E815">
        <v>0.0568267754977</v>
      </c>
      <c r="F815">
        <v>0.003129732458354</v>
      </c>
      <c r="G815">
        <v>-0.051541864938263</v>
      </c>
      <c r="H815">
        <v>0.261685447189778</v>
      </c>
      <c r="I815">
        <v>0.91939172899796</v>
      </c>
    </row>
    <row r="816" spans="1:9">
      <c r="A816" s="1" t="s">
        <v>828</v>
      </c>
      <c r="B816">
        <f>HYPERLINK("https://www.suredividend.com/sure-analysis-research-database/","Ichor Holdings Ltd")</f>
        <v>0</v>
      </c>
      <c r="C816">
        <v>0.004091374019774</v>
      </c>
      <c r="D816">
        <v>0.16357171078625</v>
      </c>
      <c r="E816">
        <v>0.148148148148148</v>
      </c>
      <c r="F816">
        <v>0.09806114839671801</v>
      </c>
      <c r="G816">
        <v>-0.33144154370034</v>
      </c>
      <c r="H816">
        <v>-0.156402177026639</v>
      </c>
      <c r="I816">
        <v>0.126625860749808</v>
      </c>
    </row>
    <row r="817" spans="1:9">
      <c r="A817" s="1" t="s">
        <v>829</v>
      </c>
      <c r="B817">
        <f>HYPERLINK("https://www.suredividend.com/sure-analysis-research-database/","Intercept Pharmaceuticals Inc")</f>
        <v>0</v>
      </c>
      <c r="C817">
        <v>-0.010899182561307</v>
      </c>
      <c r="D817">
        <v>0.062957540263543</v>
      </c>
      <c r="E817">
        <v>-0.05407166123778501</v>
      </c>
      <c r="F817">
        <v>0.173807599029911</v>
      </c>
      <c r="G817">
        <v>-0.033932135728542</v>
      </c>
      <c r="H817">
        <v>-0.5329688002573171</v>
      </c>
      <c r="I817">
        <v>-0.7281407976034451</v>
      </c>
    </row>
    <row r="818" spans="1:9">
      <c r="A818" s="1" t="s">
        <v>830</v>
      </c>
      <c r="B818">
        <f>HYPERLINK("https://www.suredividend.com/sure-analysis-research-database/","Icosavax Inc")</f>
        <v>0</v>
      </c>
      <c r="C818">
        <v>1.236842105263158</v>
      </c>
      <c r="D818">
        <v>1.759740259740259</v>
      </c>
      <c r="E818">
        <v>0.071878940731399</v>
      </c>
      <c r="F818">
        <v>0.07052896725440801</v>
      </c>
      <c r="G818">
        <v>-0.53012714206744</v>
      </c>
      <c r="H818">
        <v>-0.756934515298827</v>
      </c>
      <c r="I818">
        <v>-0.756934515298827</v>
      </c>
    </row>
    <row r="819" spans="1:9">
      <c r="A819" s="1" t="s">
        <v>831</v>
      </c>
      <c r="B819">
        <f>HYPERLINK("https://www.suredividend.com/sure-analysis-research-database/","Interdigital Inc")</f>
        <v>0</v>
      </c>
      <c r="C819">
        <v>0.176923421570344</v>
      </c>
      <c r="D819">
        <v>0.240456171908035</v>
      </c>
      <c r="E819">
        <v>-0.071358670238322</v>
      </c>
      <c r="F819">
        <v>0.175020993410204</v>
      </c>
      <c r="G819">
        <v>-0.139263809163511</v>
      </c>
      <c r="H819">
        <v>-0.089998645784453</v>
      </c>
      <c r="I819">
        <v>-0.182345800237132</v>
      </c>
    </row>
    <row r="820" spans="1:9">
      <c r="A820" s="1" t="s">
        <v>832</v>
      </c>
      <c r="B820">
        <f>HYPERLINK("https://www.suredividend.com/sure-analysis-research-database/","Ideanomics Inc")</f>
        <v>0</v>
      </c>
      <c r="C820">
        <v>-0.165289256198347</v>
      </c>
      <c r="D820">
        <v>-0.329296875</v>
      </c>
      <c r="E820">
        <v>-0.764277869302581</v>
      </c>
      <c r="F820">
        <v>0.046951219512195</v>
      </c>
      <c r="G820">
        <v>-0.8569166666666661</v>
      </c>
      <c r="H820">
        <v>-0.9455784469096671</v>
      </c>
      <c r="I820">
        <v>-0.9599766899766899</v>
      </c>
    </row>
    <row r="821" spans="1:9">
      <c r="A821" s="1" t="s">
        <v>833</v>
      </c>
      <c r="B821">
        <f>HYPERLINK("https://www.suredividend.com/sure-analysis-research-database/","IDT Corp.")</f>
        <v>0</v>
      </c>
      <c r="C821">
        <v>-0.08580183861082701</v>
      </c>
      <c r="D821">
        <v>-0.104999999999999</v>
      </c>
      <c r="E821">
        <v>0.07314148681055101</v>
      </c>
      <c r="F821">
        <v>-0.046858359957401</v>
      </c>
      <c r="G821">
        <v>-0.356578001437814</v>
      </c>
      <c r="H821">
        <v>1.168820678513731</v>
      </c>
      <c r="I821">
        <v>2.869824020293155</v>
      </c>
    </row>
    <row r="822" spans="1:9">
      <c r="A822" s="1" t="s">
        <v>834</v>
      </c>
      <c r="B822">
        <f>HYPERLINK("https://www.suredividend.com/sure-analysis-research-database/","Ideaya Biosciences Inc")</f>
        <v>0</v>
      </c>
      <c r="C822">
        <v>-0.005938242280285001</v>
      </c>
      <c r="D822">
        <v>0.154482758620689</v>
      </c>
      <c r="E822">
        <v>0.084899546338301</v>
      </c>
      <c r="F822">
        <v>-0.07870115575123801</v>
      </c>
      <c r="G822">
        <v>-0.068447412353923</v>
      </c>
      <c r="H822">
        <v>0.196568977841315</v>
      </c>
      <c r="I822">
        <v>0.49597855227882</v>
      </c>
    </row>
    <row r="823" spans="1:9">
      <c r="A823" s="1" t="s">
        <v>835</v>
      </c>
      <c r="B823">
        <f>HYPERLINK("https://www.suredividend.com/sure-analysis-research-database/","Infrastructure and Energy Alternatives Inc")</f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>
      <c r="A824" s="1" t="s">
        <v>836</v>
      </c>
      <c r="B824">
        <f>HYPERLINK("https://www.suredividend.com/sure-analysis-research-database/","IES Holdings Inc")</f>
        <v>0</v>
      </c>
      <c r="C824">
        <v>0.157678965625985</v>
      </c>
      <c r="D824">
        <v>0.293516560958421</v>
      </c>
      <c r="E824">
        <v>0.17472</v>
      </c>
      <c r="F824">
        <v>0.03204947989879101</v>
      </c>
      <c r="G824">
        <v>-0.270758839888756</v>
      </c>
      <c r="H824">
        <v>-0.234410844629822</v>
      </c>
      <c r="I824">
        <v>1.159411764705882</v>
      </c>
    </row>
    <row r="825" spans="1:9">
      <c r="A825" s="1" t="s">
        <v>837</v>
      </c>
      <c r="B825">
        <f>HYPERLINK("https://www.suredividend.com/sure-analysis-research-database/","IGM Biosciences Inc")</f>
        <v>0</v>
      </c>
      <c r="C825">
        <v>-0.028647214854111</v>
      </c>
      <c r="D825">
        <v>-0.113746369796708</v>
      </c>
      <c r="E825">
        <v>-0.117590361445783</v>
      </c>
      <c r="F825">
        <v>0.076425631981187</v>
      </c>
      <c r="G825">
        <v>-0.255691056910569</v>
      </c>
      <c r="H825">
        <v>-0.7838762983947121</v>
      </c>
      <c r="I825">
        <v>-0.246502057613168</v>
      </c>
    </row>
    <row r="826" spans="1:9">
      <c r="A826" s="1" t="s">
        <v>838</v>
      </c>
      <c r="B826">
        <f>HYPERLINK("https://www.suredividend.com/sure-analysis-research-database/","International Game Technology PLC")</f>
        <v>0</v>
      </c>
      <c r="C826">
        <v>-0.01079734219269</v>
      </c>
      <c r="D826">
        <v>0.368179207352096</v>
      </c>
      <c r="E826">
        <v>0.335868230226963</v>
      </c>
      <c r="F826">
        <v>0.05026455026455001</v>
      </c>
      <c r="G826">
        <v>-0.155854971489728</v>
      </c>
      <c r="H826">
        <v>0.324333941200017</v>
      </c>
      <c r="I826">
        <v>0.004465697622933001</v>
      </c>
    </row>
    <row r="827" spans="1:9">
      <c r="A827" s="1" t="s">
        <v>839</v>
      </c>
      <c r="B827">
        <f>HYPERLINK("https://www.suredividend.com/sure-analysis-research-database/","iHeartMedia Inc")</f>
        <v>0</v>
      </c>
      <c r="C827">
        <v>-0.116797900262467</v>
      </c>
      <c r="D827">
        <v>-0.09421265141318901</v>
      </c>
      <c r="E827">
        <v>-0.065277777777777</v>
      </c>
      <c r="F827">
        <v>0.09787928221859701</v>
      </c>
      <c r="G827">
        <v>-0.67409200968523</v>
      </c>
      <c r="H827">
        <v>-0.493222891566265</v>
      </c>
      <c r="I827">
        <v>-0.592121212121212</v>
      </c>
    </row>
    <row r="828" spans="1:9">
      <c r="A828" s="1" t="s">
        <v>840</v>
      </c>
      <c r="B828">
        <f>HYPERLINK("https://www.suredividend.com/sure-analysis-research-database/","Insteel Industries, Inc.")</f>
        <v>0</v>
      </c>
      <c r="C828">
        <v>0.01770538243626</v>
      </c>
      <c r="D828">
        <v>0.04843063722986601</v>
      </c>
      <c r="E828">
        <v>-0.194840705088696</v>
      </c>
      <c r="F828">
        <v>0.044331395348837</v>
      </c>
      <c r="G828">
        <v>-0.300961239103362</v>
      </c>
      <c r="H828">
        <v>0.177695094166434</v>
      </c>
      <c r="I828">
        <v>0.013849594671821</v>
      </c>
    </row>
    <row r="829" spans="1:9">
      <c r="A829" s="1" t="s">
        <v>841</v>
      </c>
      <c r="B829">
        <f>HYPERLINK("https://www.suredividend.com/sure-analysis-research-database/","i3 Verticals Inc")</f>
        <v>0</v>
      </c>
      <c r="C829">
        <v>0.146699266503667</v>
      </c>
      <c r="D829">
        <v>0.338088445078459</v>
      </c>
      <c r="E829">
        <v>0.077335375191424</v>
      </c>
      <c r="F829">
        <v>0.156121610517666</v>
      </c>
      <c r="G829">
        <v>0.177405857740585</v>
      </c>
      <c r="H829">
        <v>-0.112582781456953</v>
      </c>
      <c r="I829">
        <v>0.533514986376021</v>
      </c>
    </row>
    <row r="830" spans="1:9">
      <c r="A830" s="1" t="s">
        <v>842</v>
      </c>
      <c r="B830">
        <f>HYPERLINK("https://www.suredividend.com/sure-analysis-IIPR/","Innovative Industrial Properties Inc")</f>
        <v>0</v>
      </c>
      <c r="C830">
        <v>-0.078524186698223</v>
      </c>
      <c r="D830">
        <v>0.134653184325828</v>
      </c>
      <c r="E830">
        <v>-0.08084308251592201</v>
      </c>
      <c r="F830">
        <v>0.001874691662555</v>
      </c>
      <c r="G830">
        <v>-0.5149830310933421</v>
      </c>
      <c r="H830">
        <v>-0.378472906584857</v>
      </c>
      <c r="I830">
        <v>3.016804595154833</v>
      </c>
    </row>
    <row r="831" spans="1:9">
      <c r="A831" s="1" t="s">
        <v>843</v>
      </c>
      <c r="B831">
        <f>HYPERLINK("https://www.suredividend.com/sure-analysis-research-database/","Ii-Vi Inc.")</f>
        <v>0</v>
      </c>
      <c r="C831">
        <v>-0.20834119645216</v>
      </c>
      <c r="D831">
        <v>-0.349208811666149</v>
      </c>
      <c r="E831">
        <v>-0.325345770344162</v>
      </c>
      <c r="F831">
        <v>-0.386067613054295</v>
      </c>
      <c r="G831">
        <v>-0.321636481241914</v>
      </c>
      <c r="H831">
        <v>0.07564102564102501</v>
      </c>
      <c r="I831">
        <v>0.14931506849315</v>
      </c>
    </row>
    <row r="832" spans="1:9">
      <c r="A832" s="1" t="s">
        <v>844</v>
      </c>
      <c r="B832">
        <f>HYPERLINK("https://www.suredividend.com/sure-analysis-research-database/","Ikena Oncology Inc")</f>
        <v>0</v>
      </c>
      <c r="C832">
        <v>0.093425605536332</v>
      </c>
      <c r="D832">
        <v>0.060402684563758</v>
      </c>
      <c r="E832">
        <v>-0.40377358490566</v>
      </c>
      <c r="F832">
        <v>0.18796992481203</v>
      </c>
      <c r="G832">
        <v>-0.731520815632965</v>
      </c>
      <c r="H832">
        <v>-0.9012500000000001</v>
      </c>
      <c r="I832">
        <v>-0.9012500000000001</v>
      </c>
    </row>
    <row r="833" spans="1:9">
      <c r="A833" s="1" t="s">
        <v>845</v>
      </c>
      <c r="B833">
        <f>HYPERLINK("https://www.suredividend.com/sure-analysis-ILPT/","Industrial Logistics Properties Trust")</f>
        <v>0</v>
      </c>
      <c r="C833">
        <v>0.09615384615384601</v>
      </c>
      <c r="D833">
        <v>-0.130889368097758</v>
      </c>
      <c r="E833">
        <v>-0.716766165269427</v>
      </c>
      <c r="F833">
        <v>0.220183486238532</v>
      </c>
      <c r="G833">
        <v>-0.8365752061241291</v>
      </c>
      <c r="H833">
        <v>-0.804797385556963</v>
      </c>
      <c r="I833">
        <v>-0.7792921861689771</v>
      </c>
    </row>
    <row r="834" spans="1:9">
      <c r="A834" s="1" t="s">
        <v>846</v>
      </c>
      <c r="B834">
        <f>HYPERLINK("https://www.suredividend.com/sure-analysis-research-database/","Imax Corp")</f>
        <v>0</v>
      </c>
      <c r="C834">
        <v>-0.044108761329305</v>
      </c>
      <c r="D834">
        <v>0.08207934336525301</v>
      </c>
      <c r="E834">
        <v>-0.019826517967781</v>
      </c>
      <c r="F834">
        <v>0.07912687585266001</v>
      </c>
      <c r="G834">
        <v>-0.167368421052631</v>
      </c>
      <c r="H834">
        <v>-0.134573304157549</v>
      </c>
      <c r="I834">
        <v>-0.22640586797066</v>
      </c>
    </row>
    <row r="835" spans="1:9">
      <c r="A835" s="1" t="s">
        <v>847</v>
      </c>
      <c r="B835">
        <f>HYPERLINK("https://www.suredividend.com/sure-analysis-research-database/","Immunogen, Inc.")</f>
        <v>0</v>
      </c>
      <c r="C835">
        <v>-0.194552529182879</v>
      </c>
      <c r="D835">
        <v>-0.255395683453237</v>
      </c>
      <c r="E835">
        <v>-0.241758241758241</v>
      </c>
      <c r="F835">
        <v>-0.165322580645161</v>
      </c>
      <c r="G835">
        <v>-0.405172413793103</v>
      </c>
      <c r="H835">
        <v>-0.406876790830945</v>
      </c>
      <c r="I835">
        <v>-0.44054054054054</v>
      </c>
    </row>
    <row r="836" spans="1:9">
      <c r="A836" s="1" t="s">
        <v>848</v>
      </c>
      <c r="B836">
        <f>HYPERLINK("https://www.suredividend.com/sure-analysis-research-database/","Imago BioSciences Inc")</f>
        <v>0</v>
      </c>
      <c r="C836">
        <v>0.002227171492204</v>
      </c>
      <c r="D836">
        <v>1.244389027431421</v>
      </c>
      <c r="E836">
        <v>1.179176755447942</v>
      </c>
      <c r="F836">
        <v>0.001390820584144</v>
      </c>
      <c r="G836">
        <v>0.816347124117053</v>
      </c>
      <c r="H836">
        <v>1.209944751381215</v>
      </c>
      <c r="I836">
        <v>1.209944751381215</v>
      </c>
    </row>
    <row r="837" spans="1:9">
      <c r="A837" s="1" t="s">
        <v>849</v>
      </c>
      <c r="B837">
        <f>HYPERLINK("https://www.suredividend.com/sure-analysis-research-database/","Ingles Markets, Inc.")</f>
        <v>0</v>
      </c>
      <c r="C837">
        <v>-0.043800123380629</v>
      </c>
      <c r="D837">
        <v>0.168753683239567</v>
      </c>
      <c r="E837">
        <v>0.09158163672290701</v>
      </c>
      <c r="F837">
        <v>-0.005238103150338001</v>
      </c>
      <c r="G837">
        <v>0.114788668468204</v>
      </c>
      <c r="H837">
        <v>1.320477322112485</v>
      </c>
      <c r="I837">
        <v>2.070477704658446</v>
      </c>
    </row>
    <row r="838" spans="1:9">
      <c r="A838" s="1" t="s">
        <v>850</v>
      </c>
      <c r="B838">
        <f>HYPERLINK("https://www.suredividend.com/sure-analysis-research-database/","Impel Pharmaceuticals Inc")</f>
        <v>0</v>
      </c>
      <c r="C838">
        <v>0.385135135135135</v>
      </c>
      <c r="D838">
        <v>-0.171717171717171</v>
      </c>
      <c r="E838">
        <v>-0.5459579180509411</v>
      </c>
      <c r="F838">
        <v>0.093333333333333</v>
      </c>
      <c r="G838">
        <v>-0.417613636363636</v>
      </c>
      <c r="H838">
        <v>-0.726666666666666</v>
      </c>
      <c r="I838">
        <v>-0.726666666666666</v>
      </c>
    </row>
    <row r="839" spans="1:9">
      <c r="A839" s="1" t="s">
        <v>851</v>
      </c>
      <c r="B839">
        <f>HYPERLINK("https://www.suredividend.com/sure-analysis-research-database/","Immuneering Corp")</f>
        <v>0</v>
      </c>
      <c r="C839">
        <v>-0.146718146718146</v>
      </c>
      <c r="D839">
        <v>-0.656031128404669</v>
      </c>
      <c r="E839">
        <v>-0.392857142857142</v>
      </c>
      <c r="F839">
        <v>-0.08865979381443201</v>
      </c>
      <c r="G839">
        <v>-0.7142857142857141</v>
      </c>
      <c r="H839">
        <v>-0.7487208641273451</v>
      </c>
      <c r="I839">
        <v>-0.7487208641273451</v>
      </c>
    </row>
    <row r="840" spans="1:9">
      <c r="A840" s="1" t="s">
        <v>852</v>
      </c>
      <c r="B840">
        <f>HYPERLINK("https://www.suredividend.com/sure-analysis-research-database/","Immunic Inc")</f>
        <v>0</v>
      </c>
      <c r="C840">
        <v>0.186440677966101</v>
      </c>
      <c r="D840">
        <v>-0.6464646464646461</v>
      </c>
      <c r="E840">
        <v>-0.6744186046511621</v>
      </c>
      <c r="F840">
        <v>0</v>
      </c>
      <c r="G840">
        <v>-0.8547717842323651</v>
      </c>
      <c r="H840">
        <v>-0.921392476137001</v>
      </c>
      <c r="I840">
        <v>-0.7795275590551181</v>
      </c>
    </row>
    <row r="841" spans="1:9">
      <c r="A841" s="1" t="s">
        <v>853</v>
      </c>
      <c r="B841">
        <f>HYPERLINK("https://www.suredividend.com/sure-analysis-research-database/","Immunovant Inc")</f>
        <v>0</v>
      </c>
      <c r="C841">
        <v>0.294198895027624</v>
      </c>
      <c r="D841">
        <v>1.061606160616061</v>
      </c>
      <c r="E841">
        <v>3.378504672897195</v>
      </c>
      <c r="F841">
        <v>0.055774647887323</v>
      </c>
      <c r="G841">
        <v>1.345431789737171</v>
      </c>
      <c r="H841">
        <v>-0.6221774193548381</v>
      </c>
      <c r="I841">
        <v>0.883417085427135</v>
      </c>
    </row>
    <row r="842" spans="1:9">
      <c r="A842" s="1" t="s">
        <v>854</v>
      </c>
      <c r="B842">
        <f>HYPERLINK("https://www.suredividend.com/sure-analysis-research-database/","International Money Express Inc.")</f>
        <v>0</v>
      </c>
      <c r="C842">
        <v>0.084995251661918</v>
      </c>
      <c r="D842">
        <v>-0.03300888700804</v>
      </c>
      <c r="E842">
        <v>0.016459074733096</v>
      </c>
      <c r="F842">
        <v>-0.062371768567911</v>
      </c>
      <c r="G842">
        <v>0.418373680943513</v>
      </c>
      <c r="H842">
        <v>0.425452276980661</v>
      </c>
      <c r="I842">
        <v>1.296482412060302</v>
      </c>
    </row>
    <row r="843" spans="1:9">
      <c r="A843" s="1" t="s">
        <v>855</v>
      </c>
      <c r="B843">
        <f>HYPERLINK("https://www.suredividend.com/sure-analysis-research-database/","First Internet Bancorp")</f>
        <v>0</v>
      </c>
      <c r="C843">
        <v>-0.08180551895493701</v>
      </c>
      <c r="D843">
        <v>-0.206377613275848</v>
      </c>
      <c r="E843">
        <v>-0.329856684397942</v>
      </c>
      <c r="F843">
        <v>0.004530477759472001</v>
      </c>
      <c r="G843">
        <v>-0.5212230307622541</v>
      </c>
      <c r="H843">
        <v>-0.182807804034698</v>
      </c>
      <c r="I843">
        <v>-0.348327936131328</v>
      </c>
    </row>
    <row r="844" spans="1:9">
      <c r="A844" s="1" t="s">
        <v>856</v>
      </c>
      <c r="B844">
        <f>HYPERLINK("https://www.suredividend.com/sure-analysis-research-database/","Inhibrx Inc")</f>
        <v>0</v>
      </c>
      <c r="C844">
        <v>-0.152997425524089</v>
      </c>
      <c r="D844">
        <v>-0.244918032786885</v>
      </c>
      <c r="E844">
        <v>0.33739837398374</v>
      </c>
      <c r="F844">
        <v>-0.06534090909090901</v>
      </c>
      <c r="G844">
        <v>-0.324237089201877</v>
      </c>
      <c r="H844">
        <v>-0.3256222547584181</v>
      </c>
      <c r="I844">
        <v>0.116335433834222</v>
      </c>
    </row>
    <row r="845" spans="1:9">
      <c r="A845" s="1" t="s">
        <v>857</v>
      </c>
      <c r="B845">
        <f>HYPERLINK("https://www.suredividend.com/sure-analysis-research-database/","Independent Bank Corp.")</f>
        <v>0</v>
      </c>
      <c r="C845">
        <v>-0.096248714903926</v>
      </c>
      <c r="D845">
        <v>0.038344717888882</v>
      </c>
      <c r="E845">
        <v>0.0007892341403010001</v>
      </c>
      <c r="F845">
        <v>-0.05981286272651901</v>
      </c>
      <c r="G845">
        <v>-0.059967623475467</v>
      </c>
      <c r="H845">
        <v>0.082685354286891</v>
      </c>
      <c r="I845">
        <v>0.259952001828501</v>
      </c>
    </row>
    <row r="846" spans="1:9">
      <c r="A846" s="1" t="s">
        <v>858</v>
      </c>
      <c r="B846">
        <f>HYPERLINK("https://www.suredividend.com/sure-analysis-research-database/","INDUS Realty Trust Inc")</f>
        <v>0</v>
      </c>
      <c r="C846">
        <v>-0.004819280882475001</v>
      </c>
      <c r="D846">
        <v>0.283154208721571</v>
      </c>
      <c r="E846">
        <v>0.06419861021088001</v>
      </c>
      <c r="F846">
        <v>0.0007875255945810001</v>
      </c>
      <c r="G846">
        <v>-0.199795478101422</v>
      </c>
      <c r="H846">
        <v>0.022363600380369</v>
      </c>
      <c r="I846">
        <v>0.7498251276430511</v>
      </c>
    </row>
    <row r="847" spans="1:9">
      <c r="A847" s="1" t="s">
        <v>859</v>
      </c>
      <c r="B847">
        <f>HYPERLINK("https://www.suredividend.com/sure-analysis-research-database/","Infinity Pharmaceuticals Inc.")</f>
        <v>0</v>
      </c>
      <c r="C847">
        <v>0.339186295503211</v>
      </c>
      <c r="D847">
        <v>-0.456173913043478</v>
      </c>
      <c r="E847">
        <v>-0.078125</v>
      </c>
      <c r="F847">
        <v>0.126846846846846</v>
      </c>
      <c r="G847">
        <v>-0.585827814569536</v>
      </c>
      <c r="H847">
        <v>-0.7447346938775511</v>
      </c>
      <c r="I847">
        <v>-0.69039603960396</v>
      </c>
    </row>
    <row r="848" spans="1:9">
      <c r="A848" s="1" t="s">
        <v>860</v>
      </c>
      <c r="B848">
        <f>HYPERLINK("https://www.suredividend.com/sure-analysis-research-database/","Infinera Corp.")</f>
        <v>0</v>
      </c>
      <c r="C848">
        <v>0.024531024531024</v>
      </c>
      <c r="D848">
        <v>0.431451612903225</v>
      </c>
      <c r="E848">
        <v>0.230502599653379</v>
      </c>
      <c r="F848">
        <v>0.05341246290801101</v>
      </c>
      <c r="G848">
        <v>-0.21806167400881</v>
      </c>
      <c r="H848">
        <v>-0.228260869565217</v>
      </c>
      <c r="I848">
        <v>0.033478893740902</v>
      </c>
    </row>
    <row r="849" spans="1:9">
      <c r="A849" s="1" t="s">
        <v>861</v>
      </c>
      <c r="B849">
        <f>HYPERLINK("https://www.suredividend.com/sure-analysis-research-database/","InfuSystem Holdings Inc")</f>
        <v>0</v>
      </c>
      <c r="C849">
        <v>0.128354725787631</v>
      </c>
      <c r="D849">
        <v>0.389367816091954</v>
      </c>
      <c r="E849">
        <v>-0.03781094527363101</v>
      </c>
      <c r="F849">
        <v>0.11405529953917</v>
      </c>
      <c r="G849">
        <v>-0.386810399492707</v>
      </c>
      <c r="H849">
        <v>-0.4387695879280321</v>
      </c>
      <c r="I849">
        <v>3.029334555606483</v>
      </c>
    </row>
    <row r="850" spans="1:9">
      <c r="A850" s="1" t="s">
        <v>862</v>
      </c>
      <c r="B850">
        <f>HYPERLINK("https://www.suredividend.com/sure-analysis-research-database/","Inogen Inc")</f>
        <v>0</v>
      </c>
      <c r="C850">
        <v>0.02531041069723</v>
      </c>
      <c r="D850">
        <v>-0.024090909090909</v>
      </c>
      <c r="E850">
        <v>-0.217850637522768</v>
      </c>
      <c r="F850">
        <v>0.089294774226281</v>
      </c>
      <c r="G850">
        <v>-0.33877425315676</v>
      </c>
      <c r="H850">
        <v>-0.534677069787603</v>
      </c>
      <c r="I850">
        <v>-0.8176645435244161</v>
      </c>
    </row>
    <row r="851" spans="1:9">
      <c r="A851" s="1" t="s">
        <v>863</v>
      </c>
      <c r="B851">
        <f>HYPERLINK("https://www.suredividend.com/sure-analysis-research-database/","Summit Hotel Properties Inc")</f>
        <v>0</v>
      </c>
      <c r="C851">
        <v>-0.07088607594936701</v>
      </c>
      <c r="D851">
        <v>0.07053264103611201</v>
      </c>
      <c r="E851">
        <v>0.016324891652012</v>
      </c>
      <c r="F851">
        <v>0.016620498614958</v>
      </c>
      <c r="G851">
        <v>-0.280674245393963</v>
      </c>
      <c r="H851">
        <v>-0.139487444019789</v>
      </c>
      <c r="I851">
        <v>-0.443226555210838</v>
      </c>
    </row>
    <row r="852" spans="1:9">
      <c r="A852" s="1" t="s">
        <v>864</v>
      </c>
      <c r="B852">
        <f>HYPERLINK("https://www.suredividend.com/sure-analysis-research-database/","InnovAge Holding Corp")</f>
        <v>0</v>
      </c>
      <c r="C852">
        <v>0.032876712328767</v>
      </c>
      <c r="D852">
        <v>0.604255319148936</v>
      </c>
      <c r="E852">
        <v>0.664459161147902</v>
      </c>
      <c r="F852">
        <v>0.050139275766016</v>
      </c>
      <c r="G852">
        <v>0.774117647058823</v>
      </c>
      <c r="H852">
        <v>-0.688429752066115</v>
      </c>
      <c r="I852">
        <v>-0.688429752066115</v>
      </c>
    </row>
    <row r="853" spans="1:9">
      <c r="A853" s="1" t="s">
        <v>865</v>
      </c>
      <c r="B853">
        <f>HYPERLINK("https://www.suredividend.com/sure-analysis-research-database/","Inovio Pharmaceuticals Inc")</f>
        <v>0</v>
      </c>
      <c r="C853">
        <v>-0.08092485549132901</v>
      </c>
      <c r="D853">
        <v>-0.012422360248447</v>
      </c>
      <c r="E853">
        <v>-0.267281105990783</v>
      </c>
      <c r="F853">
        <v>0.019230769230769</v>
      </c>
      <c r="G853">
        <v>-0.655097613882863</v>
      </c>
      <c r="H853">
        <v>-0.8275488069414311</v>
      </c>
      <c r="I853">
        <v>-0.6353211009174311</v>
      </c>
    </row>
    <row r="854" spans="1:9">
      <c r="A854" s="1" t="s">
        <v>866</v>
      </c>
      <c r="B854">
        <f>HYPERLINK("https://www.suredividend.com/sure-analysis-research-database/","Inseego Corp")</f>
        <v>0</v>
      </c>
      <c r="C854">
        <v>-0.165289256198347</v>
      </c>
      <c r="D854">
        <v>-0.504901960784313</v>
      </c>
      <c r="E854">
        <v>-0.509708737864077</v>
      </c>
      <c r="F854">
        <v>0.198813056379821</v>
      </c>
      <c r="G854">
        <v>-0.8068833652007641</v>
      </c>
      <c r="H854">
        <v>-0.9330682571239231</v>
      </c>
      <c r="I854">
        <v>-0.380368098159509</v>
      </c>
    </row>
    <row r="855" spans="1:9">
      <c r="A855" s="1" t="s">
        <v>867</v>
      </c>
      <c r="B855">
        <f>HYPERLINK("https://www.suredividend.com/sure-analysis-research-database/","Insmed Inc")</f>
        <v>0</v>
      </c>
      <c r="C855">
        <v>-0.036294691224268</v>
      </c>
      <c r="D855">
        <v>-0.194658216387505</v>
      </c>
      <c r="E855">
        <v>-0.28266129032258</v>
      </c>
      <c r="F855">
        <v>-0.109609609609609</v>
      </c>
      <c r="G855">
        <v>-0.309126213592233</v>
      </c>
      <c r="H855">
        <v>-0.471008028545941</v>
      </c>
      <c r="I855">
        <v>-0.411122144985104</v>
      </c>
    </row>
    <row r="856" spans="1:9">
      <c r="A856" s="1" t="s">
        <v>868</v>
      </c>
      <c r="B856">
        <f>HYPERLINK("https://www.suredividend.com/sure-analysis-research-database/","Inspire Medical Systems Inc")</f>
        <v>0</v>
      </c>
      <c r="C856">
        <v>0.04619623713781301</v>
      </c>
      <c r="D856">
        <v>0.420886446029704</v>
      </c>
      <c r="E856">
        <v>0.194925255704169</v>
      </c>
      <c r="F856">
        <v>-0.035254883277751</v>
      </c>
      <c r="G856">
        <v>0.062434417628541</v>
      </c>
      <c r="H856">
        <v>0.251931993817619</v>
      </c>
      <c r="I856">
        <v>8.727782225780624</v>
      </c>
    </row>
    <row r="857" spans="1:9">
      <c r="A857" s="1" t="s">
        <v>869</v>
      </c>
      <c r="B857">
        <f>HYPERLINK("https://www.suredividend.com/sure-analysis-research-database/","Instructure Holdings Inc")</f>
        <v>0</v>
      </c>
      <c r="C857">
        <v>0.027368421052631</v>
      </c>
      <c r="D857">
        <v>0.114664230242119</v>
      </c>
      <c r="E857">
        <v>0.04901117798796201</v>
      </c>
      <c r="F857">
        <v>0.040955631399317</v>
      </c>
      <c r="G857">
        <v>0.190824792581747</v>
      </c>
      <c r="H857">
        <v>0.163012392755004</v>
      </c>
      <c r="I857">
        <v>0.163012392755004</v>
      </c>
    </row>
    <row r="858" spans="1:9">
      <c r="A858" s="1" t="s">
        <v>870</v>
      </c>
      <c r="B858">
        <f>HYPERLINK("https://www.suredividend.com/sure-analysis-research-database/","International Seaways Inc")</f>
        <v>0</v>
      </c>
      <c r="C858">
        <v>-0.120698644421272</v>
      </c>
      <c r="D858">
        <v>0.00929702297774</v>
      </c>
      <c r="E858">
        <v>0.860944982676053</v>
      </c>
      <c r="F858">
        <v>-0.088870880605078</v>
      </c>
      <c r="G858">
        <v>1.301697783600829</v>
      </c>
      <c r="H858">
        <v>1.034550565186444</v>
      </c>
      <c r="I858">
        <v>1.095317372560225</v>
      </c>
    </row>
    <row r="859" spans="1:9">
      <c r="A859" s="1" t="s">
        <v>871</v>
      </c>
      <c r="B859">
        <f>HYPERLINK("https://www.suredividend.com/sure-analysis-research-database/","World Fuel Services Corp.")</f>
        <v>0</v>
      </c>
      <c r="C859">
        <v>0.025721407490098</v>
      </c>
      <c r="D859">
        <v>0.06627772500924001</v>
      </c>
      <c r="E859">
        <v>0.263634822252783</v>
      </c>
      <c r="F859">
        <v>-0.018294914013904</v>
      </c>
      <c r="G859">
        <v>-0.031921687768584</v>
      </c>
      <c r="H859">
        <v>-0.148610740895878</v>
      </c>
      <c r="I859">
        <v>0.022437998262274</v>
      </c>
    </row>
    <row r="860" spans="1:9">
      <c r="A860" s="1" t="s">
        <v>872</v>
      </c>
      <c r="B860">
        <f>HYPERLINK("https://www.suredividend.com/sure-analysis-research-database/","Intapp Inc")</f>
        <v>0</v>
      </c>
      <c r="C860">
        <v>0.14762516046213</v>
      </c>
      <c r="D860">
        <v>0.381050463439752</v>
      </c>
      <c r="E860">
        <v>0.636363636363636</v>
      </c>
      <c r="F860">
        <v>0.07538091419406501</v>
      </c>
      <c r="G860">
        <v>0.185676392572944</v>
      </c>
      <c r="H860">
        <v>-0.042142857142857</v>
      </c>
      <c r="I860">
        <v>-0.042142857142857</v>
      </c>
    </row>
    <row r="861" spans="1:9">
      <c r="A861" s="1" t="s">
        <v>873</v>
      </c>
      <c r="B861">
        <f>HYPERLINK("https://www.suredividend.com/sure-analysis-research-database/","Innoviva Inc")</f>
        <v>0</v>
      </c>
      <c r="C861">
        <v>-0.021690351533283</v>
      </c>
      <c r="D861">
        <v>0.054838709677419</v>
      </c>
      <c r="E861">
        <v>-0.09668508287292801</v>
      </c>
      <c r="F861">
        <v>-0.012830188679245</v>
      </c>
      <c r="G861">
        <v>-0.252571428571428</v>
      </c>
      <c r="H861">
        <v>0.016317016317016</v>
      </c>
      <c r="I861">
        <v>-0.08016877637130801</v>
      </c>
    </row>
    <row r="862" spans="1:9">
      <c r="A862" s="1" t="s">
        <v>874</v>
      </c>
      <c r="B862">
        <f>HYPERLINK("https://www.suredividend.com/sure-analysis-research-database/","Identiv Inc")</f>
        <v>0</v>
      </c>
      <c r="C862">
        <v>-0.059796437659033</v>
      </c>
      <c r="D862">
        <v>-0.417651694247439</v>
      </c>
      <c r="E862">
        <v>-0.36017316017316</v>
      </c>
      <c r="F862">
        <v>0.020718232044198</v>
      </c>
      <c r="G862">
        <v>-0.6840530141085931</v>
      </c>
      <c r="H862">
        <v>-0.09102091020910201</v>
      </c>
      <c r="I862">
        <v>1.239393939393939</v>
      </c>
    </row>
    <row r="863" spans="1:9">
      <c r="A863" s="1" t="s">
        <v>875</v>
      </c>
      <c r="B863">
        <f>HYPERLINK("https://www.suredividend.com/sure-analysis-research-database/","Inozyme Pharma Inc")</f>
        <v>0</v>
      </c>
      <c r="C863">
        <v>0.119999999999999</v>
      </c>
      <c r="D863">
        <v>-0.348837209302325</v>
      </c>
      <c r="E863">
        <v>-0.6679841897233201</v>
      </c>
      <c r="F863">
        <v>0.5999999999999991</v>
      </c>
      <c r="G863">
        <v>-0.741140215716486</v>
      </c>
      <c r="H863">
        <v>-0.9355828220858891</v>
      </c>
      <c r="I863">
        <v>-0.904218928164196</v>
      </c>
    </row>
    <row r="864" spans="1:9">
      <c r="A864" s="1" t="s">
        <v>876</v>
      </c>
      <c r="B864">
        <f>HYPERLINK("https://www.suredividend.com/sure-analysis-research-database/","Innospec Inc")</f>
        <v>0</v>
      </c>
      <c r="C864">
        <v>-0.026953926506248</v>
      </c>
      <c r="D864">
        <v>0.243315970049825</v>
      </c>
      <c r="E864">
        <v>0.135804458301943</v>
      </c>
      <c r="F864">
        <v>0.014291269686953</v>
      </c>
      <c r="G864">
        <v>0.06038599961174301</v>
      </c>
      <c r="H864">
        <v>0.09220226417622601</v>
      </c>
      <c r="I864">
        <v>0.5578896441327901</v>
      </c>
    </row>
    <row r="865" spans="1:9">
      <c r="A865" s="1" t="s">
        <v>877</v>
      </c>
      <c r="B865">
        <f>HYPERLINK("https://www.suredividend.com/sure-analysis-IPAR/","Inter Parfums, Inc.")</f>
        <v>0</v>
      </c>
      <c r="C865">
        <v>0.147905024018072</v>
      </c>
      <c r="D865">
        <v>0.4967903681262301</v>
      </c>
      <c r="E865">
        <v>0.562594950572706</v>
      </c>
      <c r="F865">
        <v>0.145565685868213</v>
      </c>
      <c r="G865">
        <v>0.134770552001165</v>
      </c>
      <c r="H865">
        <v>0.8787327856457131</v>
      </c>
      <c r="I865">
        <v>1.733802277138371</v>
      </c>
    </row>
    <row r="866" spans="1:9">
      <c r="A866" s="1" t="s">
        <v>878</v>
      </c>
      <c r="B866">
        <f>HYPERLINK("https://www.suredividend.com/sure-analysis-research-database/","Intrepid Potash Inc")</f>
        <v>0</v>
      </c>
      <c r="C866">
        <v>-0.09007948189579</v>
      </c>
      <c r="D866">
        <v>-0.240727094080078</v>
      </c>
      <c r="E866">
        <v>-0.231094527363184</v>
      </c>
      <c r="F866">
        <v>0.07066158642189101</v>
      </c>
      <c r="G866">
        <v>-0.268402366863905</v>
      </c>
      <c r="H866">
        <v>0.3086367485182041</v>
      </c>
      <c r="I866">
        <v>-0.267535545023696</v>
      </c>
    </row>
    <row r="867" spans="1:9">
      <c r="A867" s="1" t="s">
        <v>879</v>
      </c>
      <c r="B867">
        <f>HYPERLINK("https://www.suredividend.com/sure-analysis-research-database/","Century Therapeutics Inc")</f>
        <v>0</v>
      </c>
      <c r="C867">
        <v>-0.484358144552319</v>
      </c>
      <c r="D867">
        <v>-0.49364406779661</v>
      </c>
      <c r="E867">
        <v>-0.492569002123142</v>
      </c>
      <c r="F867">
        <v>-0.06822612085769901</v>
      </c>
      <c r="G867">
        <v>-0.638426626323751</v>
      </c>
      <c r="H867">
        <v>-0.7906263688129651</v>
      </c>
      <c r="I867">
        <v>-0.7906263688129651</v>
      </c>
    </row>
    <row r="868" spans="1:9">
      <c r="A868" s="1" t="s">
        <v>880</v>
      </c>
      <c r="B868">
        <f>HYPERLINK("https://www.suredividend.com/sure-analysis-research-database/","Irobot Corp")</f>
        <v>0</v>
      </c>
      <c r="C868">
        <v>-0.02540834845735</v>
      </c>
      <c r="D868">
        <v>-0.139882541377469</v>
      </c>
      <c r="E868">
        <v>0.192155895411938</v>
      </c>
      <c r="F868">
        <v>0.004155412424682</v>
      </c>
      <c r="G868">
        <v>-0.274324324324324</v>
      </c>
      <c r="H868">
        <v>-0.424094375595805</v>
      </c>
      <c r="I868">
        <v>-0.404582974005174</v>
      </c>
    </row>
    <row r="869" spans="1:9">
      <c r="A869" s="1" t="s">
        <v>881</v>
      </c>
      <c r="B869">
        <f>HYPERLINK("https://www.suredividend.com/sure-analysis-research-database/","Iridium Communications Inc")</f>
        <v>0</v>
      </c>
      <c r="C869">
        <v>0.17323302316373</v>
      </c>
      <c r="D869">
        <v>0.249683677773091</v>
      </c>
      <c r="E869">
        <v>0.5352331606217611</v>
      </c>
      <c r="F869">
        <v>0.152918287937743</v>
      </c>
      <c r="G869">
        <v>0.4517393434590881</v>
      </c>
      <c r="H869">
        <v>0.371759259259259</v>
      </c>
      <c r="I869">
        <v>3.817886178861788</v>
      </c>
    </row>
    <row r="870" spans="1:9">
      <c r="A870" s="1" t="s">
        <v>882</v>
      </c>
      <c r="B870">
        <f>HYPERLINK("https://www.suredividend.com/sure-analysis-research-database/","Iradimed Corp")</f>
        <v>0</v>
      </c>
      <c r="C870">
        <v>0.06012658227848001</v>
      </c>
      <c r="D870">
        <v>0.076017130620984</v>
      </c>
      <c r="E870">
        <v>-0.136103151862464</v>
      </c>
      <c r="F870">
        <v>0.065747613997878</v>
      </c>
      <c r="G870">
        <v>-0.33118603010661</v>
      </c>
      <c r="H870">
        <v>0.318707273228274</v>
      </c>
      <c r="I870">
        <v>0.9471838490302821</v>
      </c>
    </row>
    <row r="871" spans="1:9">
      <c r="A871" s="1" t="s">
        <v>883</v>
      </c>
      <c r="B871">
        <f>HYPERLINK("https://www.suredividend.com/sure-analysis-IRT/","Independence Realty Trust Inc")</f>
        <v>0</v>
      </c>
      <c r="C871">
        <v>-0.070682404015737</v>
      </c>
      <c r="D871">
        <v>0.070305531865026</v>
      </c>
      <c r="E871">
        <v>-0.176509482162714</v>
      </c>
      <c r="F871">
        <v>-0.024911032028469</v>
      </c>
      <c r="G871">
        <v>-0.288203840408719</v>
      </c>
      <c r="H871">
        <v>0.305808624373505</v>
      </c>
      <c r="I871">
        <v>1.136091368579707</v>
      </c>
    </row>
    <row r="872" spans="1:9">
      <c r="A872" s="1" t="s">
        <v>884</v>
      </c>
      <c r="B872">
        <f>HYPERLINK("https://www.suredividend.com/sure-analysis-research-database/","iRhythm Technologies Inc")</f>
        <v>0</v>
      </c>
      <c r="C872">
        <v>-0.115597623602859</v>
      </c>
      <c r="D872">
        <v>-0.285528349467176</v>
      </c>
      <c r="E872">
        <v>-0.380256844482077</v>
      </c>
      <c r="F872">
        <v>-0.062346535710472</v>
      </c>
      <c r="G872">
        <v>-0.138499264345267</v>
      </c>
      <c r="H872">
        <v>-0.591279259155847</v>
      </c>
      <c r="I872">
        <v>0.4563090698060021</v>
      </c>
    </row>
    <row r="873" spans="1:9">
      <c r="A873" s="1" t="s">
        <v>885</v>
      </c>
      <c r="B873">
        <f>HYPERLINK("https://www.suredividend.com/sure-analysis-research-database/","Ironwood Pharmaceuticals Inc")</f>
        <v>0</v>
      </c>
      <c r="C873">
        <v>-0.051738761662425</v>
      </c>
      <c r="D873">
        <v>0.103652517275419</v>
      </c>
      <c r="E873">
        <v>-0.059714045416316</v>
      </c>
      <c r="F873">
        <v>-0.09765940274414801</v>
      </c>
      <c r="G873">
        <v>-0.05254237288135501</v>
      </c>
      <c r="H873">
        <v>-0.057335581787521</v>
      </c>
      <c r="I873">
        <v>-0.08338867435701901</v>
      </c>
    </row>
    <row r="874" spans="1:9">
      <c r="A874" s="1" t="s">
        <v>886</v>
      </c>
      <c r="B874">
        <f>HYPERLINK("https://www.suredividend.com/sure-analysis-research-database/","IVERIC bio Inc")</f>
        <v>0</v>
      </c>
      <c r="C874">
        <v>-0.063209876543209</v>
      </c>
      <c r="D874">
        <v>-0.06735496558505401</v>
      </c>
      <c r="E874">
        <v>0.6199829205807</v>
      </c>
      <c r="F874">
        <v>-0.113965436711816</v>
      </c>
      <c r="G874">
        <v>0.355</v>
      </c>
      <c r="H874">
        <v>1.859080633006782</v>
      </c>
      <c r="I874">
        <v>5.541379310344827</v>
      </c>
    </row>
    <row r="875" spans="1:9">
      <c r="A875" s="1" t="s">
        <v>887</v>
      </c>
      <c r="B875">
        <f>HYPERLINK("https://www.suredividend.com/sure-analysis-research-database/","IsoPlexis Corp")</f>
        <v>0</v>
      </c>
      <c r="C875">
        <v>0.7415730337078651</v>
      </c>
      <c r="D875">
        <v>-0.114285714285714</v>
      </c>
      <c r="E875">
        <v>-0.498381877022653</v>
      </c>
      <c r="F875">
        <v>0</v>
      </c>
      <c r="G875">
        <v>-0.8074534161490681</v>
      </c>
      <c r="H875">
        <v>-0.8654513888888881</v>
      </c>
      <c r="I875">
        <v>-0.8654513888888881</v>
      </c>
    </row>
    <row r="876" spans="1:9">
      <c r="A876" s="1" t="s">
        <v>888</v>
      </c>
      <c r="B876">
        <f>HYPERLINK("https://www.suredividend.com/sure-analysis-research-database/","Intra-Cellular Therapies Inc")</f>
        <v>0</v>
      </c>
      <c r="C876">
        <v>-0.018929882171141</v>
      </c>
      <c r="D876">
        <v>0.059449311639549</v>
      </c>
      <c r="E876">
        <v>-0.117769671704012</v>
      </c>
      <c r="F876">
        <v>-0.04024943310657601</v>
      </c>
      <c r="G876">
        <v>0.180339298164071</v>
      </c>
      <c r="H876">
        <v>0.541426403641881</v>
      </c>
      <c r="I876">
        <v>1.802980132450331</v>
      </c>
    </row>
    <row r="877" spans="1:9">
      <c r="A877" s="1" t="s">
        <v>889</v>
      </c>
      <c r="B877">
        <f>HYPERLINK("https://www.suredividend.com/sure-analysis-research-database/","Integer Holdings Corp")</f>
        <v>0</v>
      </c>
      <c r="C877">
        <v>-0.04214295551576901</v>
      </c>
      <c r="D877">
        <v>0.354694195559018</v>
      </c>
      <c r="E877">
        <v>0.002450273854136</v>
      </c>
      <c r="F877">
        <v>0.015921706105755</v>
      </c>
      <c r="G877">
        <v>-0.135272908118861</v>
      </c>
      <c r="H877">
        <v>-0.159821212853346</v>
      </c>
      <c r="I877">
        <v>0.441450777202072</v>
      </c>
    </row>
    <row r="878" spans="1:9">
      <c r="A878" s="1" t="s">
        <v>890</v>
      </c>
      <c r="B878">
        <f>HYPERLINK("https://www.suredividend.com/sure-analysis-research-database/","Iteris Inc.")</f>
        <v>0</v>
      </c>
      <c r="C878">
        <v>0.170568561872909</v>
      </c>
      <c r="D878">
        <v>0.301115241635687</v>
      </c>
      <c r="E878">
        <v>0.211072664359861</v>
      </c>
      <c r="F878">
        <v>0.12540192926045</v>
      </c>
      <c r="G878">
        <v>-0.154589371980676</v>
      </c>
      <c r="H878">
        <v>-0.479940564635958</v>
      </c>
      <c r="I878">
        <v>-0.546632124352331</v>
      </c>
    </row>
    <row r="879" spans="1:9">
      <c r="A879" s="1" t="s">
        <v>891</v>
      </c>
      <c r="B879">
        <f>HYPERLINK("https://www.suredividend.com/sure-analysis-research-database/","Investors Title Co.")</f>
        <v>0</v>
      </c>
      <c r="C879">
        <v>-0.020098846787479</v>
      </c>
      <c r="D879">
        <v>0.115148242722851</v>
      </c>
      <c r="E879">
        <v>0.01118491559632</v>
      </c>
      <c r="F879">
        <v>0.007793968146390001</v>
      </c>
      <c r="G879">
        <v>-0.27104519960959</v>
      </c>
      <c r="H879">
        <v>0.04693758435521801</v>
      </c>
      <c r="I879">
        <v>-0.103242859563731</v>
      </c>
    </row>
    <row r="880" spans="1:9">
      <c r="A880" s="1" t="s">
        <v>892</v>
      </c>
      <c r="B880">
        <f>HYPERLINK("https://www.suredividend.com/sure-analysis-research-database/","ITeos Therapeutics Inc")</f>
        <v>0</v>
      </c>
      <c r="C880">
        <v>-0.08219178082191701</v>
      </c>
      <c r="D880">
        <v>-0.008223684210526001</v>
      </c>
      <c r="E880">
        <v>-0.226261762189905</v>
      </c>
      <c r="F880">
        <v>-0.07373271889400901</v>
      </c>
      <c r="G880">
        <v>-0.5794001395024411</v>
      </c>
      <c r="H880">
        <v>-0.451818181818181</v>
      </c>
      <c r="I880">
        <v>-0.05039370078740101</v>
      </c>
    </row>
    <row r="881" spans="1:9">
      <c r="A881" s="1" t="s">
        <v>893</v>
      </c>
      <c r="B881">
        <f>HYPERLINK("https://www.suredividend.com/sure-analysis-research-database/","Itron Inc.")</f>
        <v>0</v>
      </c>
      <c r="C881">
        <v>0.020932445290199</v>
      </c>
      <c r="D881">
        <v>0.256440281030444</v>
      </c>
      <c r="E881">
        <v>0.119340705195076</v>
      </c>
      <c r="F881">
        <v>0.059230009871668</v>
      </c>
      <c r="G881">
        <v>-0.17181228774313</v>
      </c>
      <c r="H881">
        <v>-0.4799844916157791</v>
      </c>
      <c r="I881">
        <v>-0.236842105263157</v>
      </c>
    </row>
    <row r="882" spans="1:9">
      <c r="A882" s="1" t="s">
        <v>894</v>
      </c>
      <c r="B882">
        <f>HYPERLINK("https://www.suredividend.com/sure-analysis-research-database/","Invacare Corp.")</f>
        <v>0</v>
      </c>
      <c r="C882">
        <v>0.392203659506762</v>
      </c>
      <c r="D882">
        <v>-0.331891066429116</v>
      </c>
      <c r="E882">
        <v>-0.649999999999999</v>
      </c>
      <c r="F882">
        <v>0.25</v>
      </c>
      <c r="G882">
        <v>-0.807692307692307</v>
      </c>
      <c r="H882">
        <v>-0.948122529644268</v>
      </c>
      <c r="I882">
        <v>-0.9670184696569921</v>
      </c>
    </row>
    <row r="883" spans="1:9">
      <c r="A883" s="1" t="s">
        <v>895</v>
      </c>
      <c r="B883">
        <f>HYPERLINK("https://www.suredividend.com/sure-analysis-research-database/","Invesco Mortgage Capital Inc")</f>
        <v>0</v>
      </c>
      <c r="C883">
        <v>0.04520892062389401</v>
      </c>
      <c r="D883">
        <v>0.316378433367243</v>
      </c>
      <c r="E883">
        <v>-0.005968796331149001</v>
      </c>
      <c r="F883">
        <v>0.06819438826472</v>
      </c>
      <c r="G883">
        <v>-0.449413246419484</v>
      </c>
      <c r="H883">
        <v>-0.47553156132714</v>
      </c>
      <c r="I883">
        <v>-0.8112858086636441</v>
      </c>
    </row>
    <row r="884" spans="1:9">
      <c r="A884" s="1" t="s">
        <v>896</v>
      </c>
      <c r="B884">
        <f>HYPERLINK("https://www.suredividend.com/sure-analysis-JACK/","Jack In The Box, Inc.")</f>
        <v>0</v>
      </c>
      <c r="C884">
        <v>0.048472680338448</v>
      </c>
      <c r="D884">
        <v>-0.015728685228391</v>
      </c>
      <c r="E884">
        <v>0.240843454470159</v>
      </c>
      <c r="F884">
        <v>0.07152279056133601</v>
      </c>
      <c r="G884">
        <v>-0.162769285737189</v>
      </c>
      <c r="H884">
        <v>-0.218482759800232</v>
      </c>
      <c r="I884">
        <v>-0.187440955821061</v>
      </c>
    </row>
    <row r="885" spans="1:9">
      <c r="A885" s="1" t="s">
        <v>897</v>
      </c>
      <c r="B885">
        <f>HYPERLINK("https://www.suredividend.com/sure-analysis-research-database/","Janux Therapeutics Inc")</f>
        <v>0</v>
      </c>
      <c r="C885">
        <v>0.009922041105598</v>
      </c>
      <c r="D885">
        <v>0.152912621359223</v>
      </c>
      <c r="E885">
        <v>-0.02061855670103</v>
      </c>
      <c r="F885">
        <v>0.08200455580865501</v>
      </c>
      <c r="G885">
        <v>-0.229729729729729</v>
      </c>
      <c r="H885">
        <v>-0.433399602385685</v>
      </c>
      <c r="I885">
        <v>-0.433399602385685</v>
      </c>
    </row>
    <row r="886" spans="1:9">
      <c r="A886" s="1" t="s">
        <v>898</v>
      </c>
      <c r="B886">
        <f>HYPERLINK("https://www.suredividend.com/sure-analysis-research-database/","Sanfilippo (John B.) &amp; Son, Inc")</f>
        <v>0</v>
      </c>
      <c r="C886">
        <v>-0.002937936099889</v>
      </c>
      <c r="D886">
        <v>0.100738150003108</v>
      </c>
      <c r="E886">
        <v>0.110081365079797</v>
      </c>
      <c r="F886">
        <v>0.001598622725037</v>
      </c>
      <c r="G886">
        <v>-0.08164611410589301</v>
      </c>
      <c r="H886">
        <v>0.04752240694798601</v>
      </c>
      <c r="I886">
        <v>0.4508707896691581</v>
      </c>
    </row>
    <row r="887" spans="1:9">
      <c r="A887" s="1" t="s">
        <v>899</v>
      </c>
      <c r="B887">
        <f>HYPERLINK("https://www.suredividend.com/sure-analysis-research-database/","John Bean Technologies Corp")</f>
        <v>0</v>
      </c>
      <c r="C887">
        <v>0.08405910014190701</v>
      </c>
      <c r="D887">
        <v>0.07143289298981401</v>
      </c>
      <c r="E887">
        <v>-0.119688872379289</v>
      </c>
      <c r="F887">
        <v>0.06646227964524201</v>
      </c>
      <c r="G887">
        <v>-0.348581693807981</v>
      </c>
      <c r="H887">
        <v>-0.213439047986678</v>
      </c>
      <c r="I887">
        <v>-0.09924573390202301</v>
      </c>
    </row>
    <row r="888" spans="1:9">
      <c r="A888" s="1" t="s">
        <v>900</v>
      </c>
      <c r="B888">
        <f>HYPERLINK("https://www.suredividend.com/sure-analysis-research-database/","JELD-WEN Holding Inc.")</f>
        <v>0</v>
      </c>
      <c r="C888">
        <v>0.05967276227141401</v>
      </c>
      <c r="D888">
        <v>0.216574585635358</v>
      </c>
      <c r="E888">
        <v>-0.289677419354838</v>
      </c>
      <c r="F888">
        <v>0.140932642487046</v>
      </c>
      <c r="G888">
        <v>-0.559247397918334</v>
      </c>
      <c r="H888">
        <v>-0.5831124574024991</v>
      </c>
      <c r="I888">
        <v>-0.7321167883211671</v>
      </c>
    </row>
    <row r="889" spans="1:9">
      <c r="A889" s="1" t="s">
        <v>901</v>
      </c>
      <c r="B889">
        <f>HYPERLINK("https://www.suredividend.com/sure-analysis-JJSF/","J&amp;J Snack Foods Corp.")</f>
        <v>0</v>
      </c>
      <c r="C889">
        <v>-0.038223558219263</v>
      </c>
      <c r="D889">
        <v>0.156841261212916</v>
      </c>
      <c r="E889">
        <v>0.109476341405173</v>
      </c>
      <c r="F889">
        <v>-0.0006679580522340001</v>
      </c>
      <c r="G889">
        <v>-0.038861821209411</v>
      </c>
      <c r="H889">
        <v>0.002349602336336</v>
      </c>
      <c r="I889">
        <v>0.09537629810987001</v>
      </c>
    </row>
    <row r="890" spans="1:9">
      <c r="A890" s="1" t="s">
        <v>902</v>
      </c>
      <c r="B890">
        <f>HYPERLINK("https://www.suredividend.com/sure-analysis-research-database/","Jounce Therapeutics Inc")</f>
        <v>0</v>
      </c>
      <c r="C890">
        <v>0.5970149253731341</v>
      </c>
      <c r="D890">
        <v>-0.511415525114155</v>
      </c>
      <c r="E890">
        <v>-0.6942857142857141</v>
      </c>
      <c r="F890">
        <v>-0.036036036036036</v>
      </c>
      <c r="G890">
        <v>-0.8473609129814551</v>
      </c>
      <c r="H890">
        <v>-0.8536251709986321</v>
      </c>
      <c r="I890">
        <v>-0.9250700280112041</v>
      </c>
    </row>
    <row r="891" spans="1:9">
      <c r="A891" s="1" t="s">
        <v>903</v>
      </c>
      <c r="B891">
        <f>HYPERLINK("https://www.suredividend.com/sure-analysis-research-database/","JOANN Inc")</f>
        <v>0</v>
      </c>
      <c r="C891">
        <v>-0.244493392070484</v>
      </c>
      <c r="D891">
        <v>-0.4013961605584641</v>
      </c>
      <c r="E891">
        <v>-0.571769229808856</v>
      </c>
      <c r="F891">
        <v>0.203508771929824</v>
      </c>
      <c r="G891">
        <v>-0.6648295809881171</v>
      </c>
      <c r="H891">
        <v>-0.7024506614617221</v>
      </c>
      <c r="I891">
        <v>-0.7024506614617221</v>
      </c>
    </row>
    <row r="892" spans="1:9">
      <c r="A892" s="1" t="s">
        <v>904</v>
      </c>
      <c r="B892">
        <f>HYPERLINK("https://www.suredividend.com/sure-analysis-research-database/","St. Joe Co.")</f>
        <v>0</v>
      </c>
      <c r="C892">
        <v>0.098007098007097</v>
      </c>
      <c r="D892">
        <v>0.258015076162772</v>
      </c>
      <c r="E892">
        <v>0.012019938453486</v>
      </c>
      <c r="F892">
        <v>0.040620957309184</v>
      </c>
      <c r="G892">
        <v>-0.225943033102386</v>
      </c>
      <c r="H892">
        <v>-0.059205494127636</v>
      </c>
      <c r="I892">
        <v>1.231766324854619</v>
      </c>
    </row>
    <row r="893" spans="1:9">
      <c r="A893" s="1" t="s">
        <v>905</v>
      </c>
      <c r="B893">
        <f>HYPERLINK("https://www.suredividend.com/sure-analysis-research-database/","Johnson Outdoors Inc")</f>
        <v>0</v>
      </c>
      <c r="C893">
        <v>-0.013088235294117</v>
      </c>
      <c r="D893">
        <v>0.402208933518873</v>
      </c>
      <c r="E893">
        <v>0.058771188045083</v>
      </c>
      <c r="F893">
        <v>0.014972776769509</v>
      </c>
      <c r="G893">
        <v>-0.25300783724008</v>
      </c>
      <c r="H893">
        <v>-0.413064753537047</v>
      </c>
      <c r="I893">
        <v>0.146195913933684</v>
      </c>
    </row>
    <row r="894" spans="1:9">
      <c r="A894" s="1" t="s">
        <v>906</v>
      </c>
      <c r="B894">
        <f>HYPERLINK("https://www.suredividend.com/sure-analysis-research-database/","James River Group Holdings Ltd")</f>
        <v>0</v>
      </c>
      <c r="C894">
        <v>-0.056275122822688</v>
      </c>
      <c r="D894">
        <v>-0.005815485376595</v>
      </c>
      <c r="E894">
        <v>-0.103490996724538</v>
      </c>
      <c r="F894">
        <v>0.010521281683405</v>
      </c>
      <c r="G894">
        <v>-0.261529643660967</v>
      </c>
      <c r="H894">
        <v>-0.5919636339761241</v>
      </c>
      <c r="I894">
        <v>-0.323493628737913</v>
      </c>
    </row>
    <row r="895" spans="1:9">
      <c r="A895" s="1" t="s">
        <v>907</v>
      </c>
      <c r="B895">
        <f>HYPERLINK("https://www.suredividend.com/sure-analysis-research-database/","Joint Corp")</f>
        <v>0</v>
      </c>
      <c r="C895">
        <v>0.020229265003371</v>
      </c>
      <c r="D895">
        <v>-0.02700964630225</v>
      </c>
      <c r="E895">
        <v>-0.040583386176283</v>
      </c>
      <c r="F895">
        <v>0.082260371959942</v>
      </c>
      <c r="G895">
        <v>-0.7199185486856721</v>
      </c>
      <c r="H895">
        <v>-0.476108033240997</v>
      </c>
      <c r="I895">
        <v>2.152083333333333</v>
      </c>
    </row>
    <row r="896" spans="1:9">
      <c r="A896" s="1" t="s">
        <v>908</v>
      </c>
      <c r="B896">
        <f>HYPERLINK("https://www.suredividend.com/sure-analysis-research-database/","Kadant, Inc.")</f>
        <v>0</v>
      </c>
      <c r="C896">
        <v>0.0150579934365</v>
      </c>
      <c r="D896">
        <v>0.165173928447615</v>
      </c>
      <c r="E896">
        <v>0.002935407374534</v>
      </c>
      <c r="F896">
        <v>0.034601153390572</v>
      </c>
      <c r="G896">
        <v>-0.145221512973293</v>
      </c>
      <c r="H896">
        <v>0.251773533424283</v>
      </c>
      <c r="I896">
        <v>0.9652780529493091</v>
      </c>
    </row>
    <row r="897" spans="1:9">
      <c r="A897" s="1" t="s">
        <v>909</v>
      </c>
      <c r="B897">
        <f>HYPERLINK("https://www.suredividend.com/sure-analysis-research-database/","Kala Pharmaceuticals Inc")</f>
        <v>0</v>
      </c>
      <c r="C897">
        <v>4.2</v>
      </c>
      <c r="D897">
        <v>0.925925925925925</v>
      </c>
      <c r="E897">
        <v>0.533018867924528</v>
      </c>
      <c r="F897">
        <v>-0.318479685452162</v>
      </c>
      <c r="G897">
        <v>-0.518518518518518</v>
      </c>
      <c r="H897">
        <v>-0.9316688567674111</v>
      </c>
      <c r="I897">
        <v>-0.95984555984556</v>
      </c>
    </row>
    <row r="898" spans="1:9">
      <c r="A898" s="1" t="s">
        <v>910</v>
      </c>
      <c r="B898">
        <f>HYPERLINK("https://www.suredividend.com/sure-analysis-KALU/","Kaiser Aluminum Corp")</f>
        <v>0</v>
      </c>
      <c r="C898">
        <v>0.05552788844621501</v>
      </c>
      <c r="D898">
        <v>0.270915844923681</v>
      </c>
      <c r="E898">
        <v>0.169274478839828</v>
      </c>
      <c r="F898">
        <v>0.116113744075829</v>
      </c>
      <c r="G898">
        <v>-0.122840597643733</v>
      </c>
      <c r="H898">
        <v>-0.156916210717247</v>
      </c>
      <c r="I898">
        <v>-0.109319992393815</v>
      </c>
    </row>
    <row r="899" spans="1:9">
      <c r="A899" s="1" t="s">
        <v>911</v>
      </c>
      <c r="B899">
        <f>HYPERLINK("https://www.suredividend.com/sure-analysis-research-database/","KalVista Pharmaceuticals Inc")</f>
        <v>0</v>
      </c>
      <c r="C899">
        <v>0.153846153846153</v>
      </c>
      <c r="D899">
        <v>0.333333333333333</v>
      </c>
      <c r="E899">
        <v>-0.403794037940379</v>
      </c>
      <c r="F899">
        <v>-0.023668639053254</v>
      </c>
      <c r="G899">
        <v>-0.491916859122401</v>
      </c>
      <c r="H899">
        <v>-0.603365384615384</v>
      </c>
      <c r="I899">
        <v>-0.344587884806355</v>
      </c>
    </row>
    <row r="900" spans="1:9">
      <c r="A900" s="1" t="s">
        <v>912</v>
      </c>
      <c r="B900">
        <f>HYPERLINK("https://www.suredividend.com/sure-analysis-research-database/","Kaman Corp.")</f>
        <v>0</v>
      </c>
      <c r="C900">
        <v>0.095253421466006</v>
      </c>
      <c r="D900">
        <v>-0.194181139597514</v>
      </c>
      <c r="E900">
        <v>-0.225385608479989</v>
      </c>
      <c r="F900">
        <v>0.022421524663677</v>
      </c>
      <c r="G900">
        <v>-0.474570841908045</v>
      </c>
      <c r="H900">
        <v>-0.5844117968721521</v>
      </c>
      <c r="I900">
        <v>-0.577119180056347</v>
      </c>
    </row>
    <row r="901" spans="1:9">
      <c r="A901" s="1" t="s">
        <v>913</v>
      </c>
      <c r="B901">
        <f>HYPERLINK("https://www.suredividend.com/sure-analysis-research-database/","KAR Auction Services Inc")</f>
        <v>0</v>
      </c>
      <c r="C901">
        <v>-0.060583395661929</v>
      </c>
      <c r="D901">
        <v>0.024469820554649</v>
      </c>
      <c r="E901">
        <v>-0.203551046290424</v>
      </c>
      <c r="F901">
        <v>-0.037547892720306</v>
      </c>
      <c r="G901">
        <v>-0.247904191616766</v>
      </c>
      <c r="H901">
        <v>-0.374501992031872</v>
      </c>
      <c r="I901">
        <v>-0.317161217366721</v>
      </c>
    </row>
    <row r="902" spans="1:9">
      <c r="A902" s="1" t="s">
        <v>914</v>
      </c>
      <c r="B902">
        <f>HYPERLINK("https://www.suredividend.com/sure-analysis-research-database/","Kimball International, Inc.")</f>
        <v>0</v>
      </c>
      <c r="C902">
        <v>0.137840830671952</v>
      </c>
      <c r="D902">
        <v>0.139633195634352</v>
      </c>
      <c r="E902">
        <v>-0.069419470002231</v>
      </c>
      <c r="F902">
        <v>0.09076923076923001</v>
      </c>
      <c r="G902">
        <v>-0.288631141701867</v>
      </c>
      <c r="H902">
        <v>-0.392162410088903</v>
      </c>
      <c r="I902">
        <v>-0.55946862845</v>
      </c>
    </row>
    <row r="903" spans="1:9">
      <c r="A903" s="1" t="s">
        <v>915</v>
      </c>
      <c r="B903">
        <f>HYPERLINK("https://www.suredividend.com/sure-analysis-research-database/","KB Home")</f>
        <v>0</v>
      </c>
      <c r="C903">
        <v>0.108212560386473</v>
      </c>
      <c r="D903">
        <v>0.246644277065875</v>
      </c>
      <c r="E903">
        <v>0.135310090435482</v>
      </c>
      <c r="F903">
        <v>0.080376766091051</v>
      </c>
      <c r="G903">
        <v>-0.118582765103972</v>
      </c>
      <c r="H903">
        <v>0.075386432817255</v>
      </c>
      <c r="I903">
        <v>0.076803199429209</v>
      </c>
    </row>
    <row r="904" spans="1:9">
      <c r="A904" s="1" t="s">
        <v>916</v>
      </c>
      <c r="B904">
        <f>HYPERLINK("https://www.suredividend.com/sure-analysis-research-database/","KBR Inc")</f>
        <v>0</v>
      </c>
      <c r="C904">
        <v>-0.020722458558038</v>
      </c>
      <c r="D904">
        <v>0.078498175016166</v>
      </c>
      <c r="E904">
        <v>0.030305920009287</v>
      </c>
      <c r="F904">
        <v>-0.05871212121212101</v>
      </c>
      <c r="G904">
        <v>0.074594594594594</v>
      </c>
      <c r="H904">
        <v>0.594425605769446</v>
      </c>
      <c r="I904">
        <v>1.672962739867481</v>
      </c>
    </row>
    <row r="905" spans="1:9">
      <c r="A905" s="1" t="s">
        <v>917</v>
      </c>
      <c r="B905">
        <f>HYPERLINK("https://www.suredividend.com/sure-analysis-research-database/","Chinook Therapeutics Inc")</f>
        <v>0</v>
      </c>
      <c r="C905">
        <v>0.09519612163948801</v>
      </c>
      <c r="D905">
        <v>0.28026790314271</v>
      </c>
      <c r="E905">
        <v>0.342517558076715</v>
      </c>
      <c r="F905">
        <v>-0.051526717557251</v>
      </c>
      <c r="G905">
        <v>0.7329149232914921</v>
      </c>
      <c r="H905">
        <v>0.519877675840978</v>
      </c>
      <c r="I905">
        <v>-0.337333333333333</v>
      </c>
    </row>
    <row r="906" spans="1:9">
      <c r="A906" s="1" t="s">
        <v>918</v>
      </c>
      <c r="B906">
        <f>HYPERLINK("https://www.suredividend.com/sure-analysis-research-database/","Kimball Electronics Inc")</f>
        <v>0</v>
      </c>
      <c r="C906">
        <v>0.001239669421487</v>
      </c>
      <c r="D906">
        <v>0.38062678062678</v>
      </c>
      <c r="E906">
        <v>0.26395409494001</v>
      </c>
      <c r="F906">
        <v>0.07259849490925101</v>
      </c>
      <c r="G906">
        <v>0.09341155234657</v>
      </c>
      <c r="H906">
        <v>0.416130917592051</v>
      </c>
      <c r="I906">
        <v>0.285411140583554</v>
      </c>
    </row>
    <row r="907" spans="1:9">
      <c r="A907" s="1" t="s">
        <v>919</v>
      </c>
      <c r="B907">
        <f>HYPERLINK("https://www.suredividend.com/sure-analysis-research-database/","Kelly Services, Inc.")</f>
        <v>0</v>
      </c>
      <c r="C907">
        <v>0.093290734824281</v>
      </c>
      <c r="D907">
        <v>0.235477185913682</v>
      </c>
      <c r="E907">
        <v>-0.122172456429278</v>
      </c>
      <c r="F907">
        <v>0.012426035502958</v>
      </c>
      <c r="G907">
        <v>-0.03203177153460601</v>
      </c>
      <c r="H907">
        <v>-0.173090399439383</v>
      </c>
      <c r="I907">
        <v>-0.352898907000491</v>
      </c>
    </row>
    <row r="908" spans="1:9">
      <c r="A908" s="1" t="s">
        <v>920</v>
      </c>
      <c r="B908">
        <f>HYPERLINK("https://www.suredividend.com/sure-analysis-research-database/","Kforce Inc.")</f>
        <v>0</v>
      </c>
      <c r="C908">
        <v>0.052480916030534</v>
      </c>
      <c r="D908">
        <v>-0.055980445186955</v>
      </c>
      <c r="E908">
        <v>-0.116399717376083</v>
      </c>
      <c r="F908">
        <v>0.005836221046872</v>
      </c>
      <c r="G908">
        <v>-0.209977065698679</v>
      </c>
      <c r="H908">
        <v>0.294433817230169</v>
      </c>
      <c r="I908">
        <v>1.248478251120162</v>
      </c>
    </row>
    <row r="909" spans="1:9">
      <c r="A909" s="1" t="s">
        <v>921</v>
      </c>
      <c r="B909">
        <f>HYPERLINK("https://www.suredividend.com/sure-analysis-research-database/","Korn Ferry")</f>
        <v>0</v>
      </c>
      <c r="C909">
        <v>0.01286979776032</v>
      </c>
      <c r="D909">
        <v>0.033741598717205</v>
      </c>
      <c r="E909">
        <v>-0.152638566049282</v>
      </c>
      <c r="F909">
        <v>0.017581983405768</v>
      </c>
      <c r="G909">
        <v>-0.276095553700471</v>
      </c>
      <c r="H909">
        <v>0.131667578415928</v>
      </c>
      <c r="I909">
        <v>0.291867828703993</v>
      </c>
    </row>
    <row r="910" spans="1:9">
      <c r="A910" s="1" t="s">
        <v>922</v>
      </c>
      <c r="B910">
        <f>HYPERLINK("https://www.suredividend.com/sure-analysis-research-database/","OrthoPediatrics corp")</f>
        <v>0</v>
      </c>
      <c r="C910">
        <v>0.09256973586768601</v>
      </c>
      <c r="D910">
        <v>0.011657142857142</v>
      </c>
      <c r="E910">
        <v>0.002264492753623</v>
      </c>
      <c r="F910">
        <v>0.114019632519506</v>
      </c>
      <c r="G910">
        <v>-0.160947867298578</v>
      </c>
      <c r="H910">
        <v>0.039211082413711</v>
      </c>
      <c r="I910">
        <v>1.282619907168643</v>
      </c>
    </row>
    <row r="911" spans="1:9">
      <c r="A911" s="1" t="s">
        <v>923</v>
      </c>
      <c r="B911">
        <f>HYPERLINK("https://www.suredividend.com/sure-analysis-research-database/","Kirkland`s Inc")</f>
        <v>0</v>
      </c>
      <c r="C911">
        <v>-0.126582278481012</v>
      </c>
      <c r="D911">
        <v>-0.022662889518413</v>
      </c>
      <c r="E911">
        <v>-0.182464454976303</v>
      </c>
      <c r="F911">
        <v>0.045454545454545</v>
      </c>
      <c r="G911">
        <v>-0.7809523809523811</v>
      </c>
      <c r="H911">
        <v>-0.7958579881656801</v>
      </c>
      <c r="I911">
        <v>-0.707627118644067</v>
      </c>
    </row>
    <row r="912" spans="1:9">
      <c r="A912" s="1" t="s">
        <v>924</v>
      </c>
      <c r="B912">
        <f>HYPERLINK("https://www.suredividend.com/sure-analysis-research-database/","Kaleido Biosciences Inc")</f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>
      <c r="A913" s="1" t="s">
        <v>925</v>
      </c>
      <c r="B913">
        <f>HYPERLINK("https://www.suredividend.com/sure-analysis-KLIC/","Kulicke &amp; Soffa Industries, Inc.")</f>
        <v>0</v>
      </c>
      <c r="C913">
        <v>0.024081602168091</v>
      </c>
      <c r="D913">
        <v>0.183237914897604</v>
      </c>
      <c r="E913">
        <v>0.153403369120322</v>
      </c>
      <c r="F913">
        <v>0.08427474017171201</v>
      </c>
      <c r="G913">
        <v>-0.162307137757622</v>
      </c>
      <c r="H913">
        <v>0.419096143098354</v>
      </c>
      <c r="I913">
        <v>1.076060200987199</v>
      </c>
    </row>
    <row r="914" spans="1:9">
      <c r="A914" s="1" t="s">
        <v>926</v>
      </c>
      <c r="B914">
        <f>HYPERLINK("https://www.suredividend.com/sure-analysis-research-database/","Kaltura Inc")</f>
        <v>0</v>
      </c>
      <c r="C914">
        <v>0.07608695652173901</v>
      </c>
      <c r="D914">
        <v>-0.014925373134328</v>
      </c>
      <c r="E914">
        <v>0.005076142131979</v>
      </c>
      <c r="F914">
        <v>0.151162790697674</v>
      </c>
      <c r="G914">
        <v>-0.379310344827586</v>
      </c>
      <c r="H914">
        <v>-0.835</v>
      </c>
      <c r="I914">
        <v>-0.835</v>
      </c>
    </row>
    <row r="915" spans="1:9">
      <c r="A915" s="1" t="s">
        <v>927</v>
      </c>
      <c r="B915">
        <f>HYPERLINK("https://www.suredividend.com/sure-analysis-research-database/","KemPharm Inc")</f>
        <v>0</v>
      </c>
      <c r="C915">
        <v>0.002207505518763</v>
      </c>
      <c r="D915">
        <v>-0.217241379310344</v>
      </c>
      <c r="E915">
        <v>-0.056133056133056</v>
      </c>
      <c r="F915">
        <v>-0.010893246187363</v>
      </c>
      <c r="G915">
        <v>-0.4739281575898031</v>
      </c>
      <c r="H915">
        <v>-0.189285714285714</v>
      </c>
      <c r="I915">
        <v>-0.06391752577319501</v>
      </c>
    </row>
    <row r="916" spans="1:9">
      <c r="A916" s="1" t="s">
        <v>928</v>
      </c>
      <c r="B916">
        <f>HYPERLINK("https://www.suredividend.com/sure-analysis-research-database/","Kennametal Inc.")</f>
        <v>0</v>
      </c>
      <c r="C916">
        <v>0.043390920048212</v>
      </c>
      <c r="D916">
        <v>0.180073703486602</v>
      </c>
      <c r="E916">
        <v>0.144269619355208</v>
      </c>
      <c r="F916">
        <v>0.079384871155444</v>
      </c>
      <c r="G916">
        <v>-0.276500905418582</v>
      </c>
      <c r="H916">
        <v>-0.313429758074536</v>
      </c>
      <c r="I916">
        <v>-0.421877817427367</v>
      </c>
    </row>
    <row r="917" spans="1:9">
      <c r="A917" s="1" t="s">
        <v>929</v>
      </c>
      <c r="B917">
        <f>HYPERLINK("https://www.suredividend.com/sure-analysis-research-database/","Knowles Corp")</f>
        <v>0</v>
      </c>
      <c r="C917">
        <v>0.080145719489981</v>
      </c>
      <c r="D917">
        <v>0.414149443561208</v>
      </c>
      <c r="E917">
        <v>-0.0005617977528090001</v>
      </c>
      <c r="F917">
        <v>0.08343483556638201</v>
      </c>
      <c r="G917">
        <v>-0.235824742268041</v>
      </c>
      <c r="H917">
        <v>-0.062697576396206</v>
      </c>
      <c r="I917">
        <v>0.130241423125794</v>
      </c>
    </row>
    <row r="918" spans="1:9">
      <c r="A918" s="1" t="s">
        <v>930</v>
      </c>
      <c r="B918">
        <f>HYPERLINK("https://www.suredividend.com/sure-analysis-research-database/","Kiniksa Pharmaceuticals Ltd")</f>
        <v>0</v>
      </c>
      <c r="C918">
        <v>-0.066666666666666</v>
      </c>
      <c r="D918">
        <v>0.048236141108711</v>
      </c>
      <c r="E918">
        <v>0.315266485998193</v>
      </c>
      <c r="F918">
        <v>-0.02803738317757</v>
      </c>
      <c r="G918">
        <v>0.328467153284671</v>
      </c>
      <c r="H918">
        <v>-0.232876712328767</v>
      </c>
      <c r="I918">
        <v>-0.252182845403184</v>
      </c>
    </row>
    <row r="919" spans="1:9">
      <c r="A919" s="1" t="s">
        <v>931</v>
      </c>
      <c r="B919">
        <f>HYPERLINK("https://www.suredividend.com/sure-analysis-research-database/","Kinsale Capital Group Inc")</f>
        <v>0</v>
      </c>
      <c r="C919">
        <v>-0.040707280205294</v>
      </c>
      <c r="D919">
        <v>0.04089346947961001</v>
      </c>
      <c r="E919">
        <v>0.191907138776444</v>
      </c>
      <c r="F919">
        <v>0.043476598348118</v>
      </c>
      <c r="G919">
        <v>0.224961766236051</v>
      </c>
      <c r="H919">
        <v>0.301143512949212</v>
      </c>
      <c r="I919">
        <v>5.273117018953369</v>
      </c>
    </row>
    <row r="920" spans="1:9">
      <c r="A920" s="1" t="s">
        <v>932</v>
      </c>
      <c r="B920">
        <f>HYPERLINK("https://www.suredividend.com/sure-analysis-research-database/","Kinnate Biopharma Inc")</f>
        <v>0</v>
      </c>
      <c r="C920">
        <v>0.07859531772575201</v>
      </c>
      <c r="D920">
        <v>-0.413102820746132</v>
      </c>
      <c r="E920">
        <v>-0.5061255742725881</v>
      </c>
      <c r="F920">
        <v>0.057377049180328</v>
      </c>
      <c r="G920">
        <v>-0.5659488559892321</v>
      </c>
      <c r="H920">
        <v>-0.825061025223759</v>
      </c>
      <c r="I920">
        <v>-0.834742505764796</v>
      </c>
    </row>
    <row r="921" spans="1:9">
      <c r="A921" s="1" t="s">
        <v>933</v>
      </c>
      <c r="B921">
        <f>HYPERLINK("https://www.suredividend.com/sure-analysis-research-database/","Kinetik Holdings Inc")</f>
        <v>0</v>
      </c>
      <c r="C921">
        <v>-0.012078830260648</v>
      </c>
      <c r="D921">
        <v>-0.06858543660806801</v>
      </c>
      <c r="E921">
        <v>-0.07141555349070601</v>
      </c>
      <c r="F921">
        <v>-0.060459492140266</v>
      </c>
      <c r="G921">
        <v>-0.4985479186834461</v>
      </c>
      <c r="H921">
        <v>-0.284583087802003</v>
      </c>
      <c r="I921">
        <v>2.207430340557276</v>
      </c>
    </row>
    <row r="922" spans="1:9">
      <c r="A922" s="1" t="s">
        <v>934</v>
      </c>
      <c r="B922">
        <f>HYPERLINK("https://www.suredividend.com/sure-analysis-research-database/","Kodiak Sciences Inc")</f>
        <v>0</v>
      </c>
      <c r="C922">
        <v>0.203216374269005</v>
      </c>
      <c r="D922">
        <v>0.104697986577181</v>
      </c>
      <c r="E922">
        <v>-0.122601279317697</v>
      </c>
      <c r="F922">
        <v>0.149441340782122</v>
      </c>
      <c r="G922">
        <v>-0.8860268660850291</v>
      </c>
      <c r="H922">
        <v>-0.9464854671955261</v>
      </c>
      <c r="I922">
        <v>-0.189960629921259</v>
      </c>
    </row>
    <row r="923" spans="1:9">
      <c r="A923" s="1" t="s">
        <v>935</v>
      </c>
      <c r="B923">
        <f>HYPERLINK("https://www.suredividend.com/sure-analysis-research-database/","Eastman Kodak Co.")</f>
        <v>0</v>
      </c>
      <c r="C923">
        <v>-0.127604166666666</v>
      </c>
      <c r="D923">
        <v>-0.279569892473118</v>
      </c>
      <c r="E923">
        <v>-0.324596774193548</v>
      </c>
      <c r="F923">
        <v>0.09836065573770501</v>
      </c>
      <c r="G923">
        <v>-0.263736263736263</v>
      </c>
      <c r="H923">
        <v>-0.6011904761904761</v>
      </c>
      <c r="I923">
        <v>-0.50735294117647</v>
      </c>
    </row>
    <row r="924" spans="1:9">
      <c r="A924" s="1" t="s">
        <v>936</v>
      </c>
      <c r="B924">
        <f>HYPERLINK("https://www.suredividend.com/sure-analysis-research-database/","Koppers Holdings Inc")</f>
        <v>0</v>
      </c>
      <c r="C924">
        <v>-0.04484887877803</v>
      </c>
      <c r="D924">
        <v>0.35849719425724</v>
      </c>
      <c r="E924">
        <v>0.34570213233577</v>
      </c>
      <c r="F924">
        <v>0.04219858156028301</v>
      </c>
      <c r="G924">
        <v>-0.071851748923107</v>
      </c>
      <c r="H924">
        <v>-0.107118444277689</v>
      </c>
      <c r="I924">
        <v>-0.401254940308845</v>
      </c>
    </row>
    <row r="925" spans="1:9">
      <c r="A925" s="1" t="s">
        <v>937</v>
      </c>
      <c r="B925">
        <f>HYPERLINK("https://www.suredividend.com/sure-analysis-research-database/","Kopin Corp.")</f>
        <v>0</v>
      </c>
      <c r="C925">
        <v>0.054794520547945</v>
      </c>
      <c r="D925">
        <v>0.4666666666666661</v>
      </c>
      <c r="E925">
        <v>0.175572519083969</v>
      </c>
      <c r="F925">
        <v>0.241935483870967</v>
      </c>
      <c r="G925">
        <v>-0.573407202216066</v>
      </c>
      <c r="H925">
        <v>-0.455830388692579</v>
      </c>
      <c r="I925">
        <v>-0.529051987767584</v>
      </c>
    </row>
    <row r="926" spans="1:9">
      <c r="A926" s="1" t="s">
        <v>938</v>
      </c>
      <c r="B926">
        <f>HYPERLINK("https://www.suredividend.com/sure-analysis-research-database/","Kosmos Energy Ltd")</f>
        <v>0</v>
      </c>
      <c r="C926">
        <v>0.187272727272727</v>
      </c>
      <c r="D926">
        <v>0.06525285481239801</v>
      </c>
      <c r="E926">
        <v>0.172351885098743</v>
      </c>
      <c r="F926">
        <v>0.026729559748427</v>
      </c>
      <c r="G926">
        <v>0.5080831408775981</v>
      </c>
      <c r="H926">
        <v>1.323843416370107</v>
      </c>
      <c r="I926">
        <v>0.02283763040005</v>
      </c>
    </row>
    <row r="927" spans="1:9">
      <c r="A927" s="1" t="s">
        <v>939</v>
      </c>
      <c r="B927">
        <f>HYPERLINK("https://www.suredividend.com/sure-analysis-research-database/","Karyopharm Therapeutics Inc")</f>
        <v>0</v>
      </c>
      <c r="C927">
        <v>-0.395744680851063</v>
      </c>
      <c r="D927">
        <v>-0.487364620938628</v>
      </c>
      <c r="E927">
        <v>-0.459047619047619</v>
      </c>
      <c r="F927">
        <v>-0.164705882352941</v>
      </c>
      <c r="G927">
        <v>-0.5977337110481581</v>
      </c>
      <c r="H927">
        <v>-0.838452787258248</v>
      </c>
      <c r="I927">
        <v>-0.718253968253968</v>
      </c>
    </row>
    <row r="928" spans="1:9">
      <c r="A928" s="1" t="s">
        <v>940</v>
      </c>
      <c r="B928">
        <f>HYPERLINK("https://www.suredividend.com/sure-analysis-KREF/","KKR Real Estate Finance Trust Inc")</f>
        <v>0</v>
      </c>
      <c r="C928">
        <v>-0.058010884912927</v>
      </c>
      <c r="D928">
        <v>-0.124935340049757</v>
      </c>
      <c r="E928">
        <v>-0.156381166105639</v>
      </c>
      <c r="F928">
        <v>0.017908309455587</v>
      </c>
      <c r="G928">
        <v>-0.275195992920281</v>
      </c>
      <c r="H928">
        <v>-0.043310240821904</v>
      </c>
      <c r="I928">
        <v>0.139598854787357</v>
      </c>
    </row>
    <row r="929" spans="1:9">
      <c r="A929" s="1" t="s">
        <v>941</v>
      </c>
      <c r="B929">
        <f>HYPERLINK("https://www.suredividend.com/sure-analysis-KRG/","Kite Realty Group Trust")</f>
        <v>0</v>
      </c>
      <c r="C929">
        <v>-0.054594614615356</v>
      </c>
      <c r="D929">
        <v>0.196271756387048</v>
      </c>
      <c r="E929">
        <v>0.2019188322199</v>
      </c>
      <c r="F929">
        <v>-0.019113359176477</v>
      </c>
      <c r="G929">
        <v>-0.027470852701363</v>
      </c>
      <c r="H929">
        <v>0.434472294031696</v>
      </c>
      <c r="I929">
        <v>0.4484632244976131</v>
      </c>
    </row>
    <row r="930" spans="1:9">
      <c r="A930" s="1" t="s">
        <v>942</v>
      </c>
      <c r="B930">
        <f>HYPERLINK("https://www.suredividend.com/sure-analysis-research-database/","Kearny Financial Corp.")</f>
        <v>0</v>
      </c>
      <c r="C930">
        <v>0.03779366700715001</v>
      </c>
      <c r="D930">
        <v>-0.004585178508445</v>
      </c>
      <c r="E930">
        <v>-0.058169177288528</v>
      </c>
      <c r="F930">
        <v>0.000985221674876</v>
      </c>
      <c r="G930">
        <v>-0.22786378179552</v>
      </c>
      <c r="H930">
        <v>0.003486523057473</v>
      </c>
      <c r="I930">
        <v>-0.165400254651497</v>
      </c>
    </row>
    <row r="931" spans="1:9">
      <c r="A931" s="1" t="s">
        <v>943</v>
      </c>
      <c r="B931">
        <f>HYPERLINK("https://www.suredividend.com/sure-analysis-KRO/","Kronos Worldwide, Inc.")</f>
        <v>0</v>
      </c>
      <c r="C931">
        <v>0.0126213592233</v>
      </c>
      <c r="D931">
        <v>0.232918814128327</v>
      </c>
      <c r="E931">
        <v>-0.367920926483689</v>
      </c>
      <c r="F931">
        <v>0.109574468085106</v>
      </c>
      <c r="G931">
        <v>-0.279502075835342</v>
      </c>
      <c r="H931">
        <v>-0.247523609578021</v>
      </c>
      <c r="I931">
        <v>-0.49359590604092</v>
      </c>
    </row>
    <row r="932" spans="1:9">
      <c r="A932" s="1" t="s">
        <v>944</v>
      </c>
      <c r="B932">
        <f>HYPERLINK("https://www.suredividend.com/sure-analysis-research-database/","Kronos Bio Inc")</f>
        <v>0</v>
      </c>
      <c r="C932">
        <v>0.125</v>
      </c>
      <c r="D932">
        <v>-0.314878892733564</v>
      </c>
      <c r="E932">
        <v>-0.5600000000000001</v>
      </c>
      <c r="F932">
        <v>0.222222222222222</v>
      </c>
      <c r="G932">
        <v>-0.8442171518489371</v>
      </c>
      <c r="H932">
        <v>-0.9375984872360541</v>
      </c>
      <c r="I932">
        <v>-0.9268562984854081</v>
      </c>
    </row>
    <row r="933" spans="1:9">
      <c r="A933" s="1" t="s">
        <v>945</v>
      </c>
      <c r="B933">
        <f>HYPERLINK("https://www.suredividend.com/sure-analysis-research-database/","Keros Therapeutics Inc")</f>
        <v>0</v>
      </c>
      <c r="C933">
        <v>-0.066787366727016</v>
      </c>
      <c r="D933">
        <v>0.163531477301229</v>
      </c>
      <c r="E933">
        <v>0.59855272226051</v>
      </c>
      <c r="F933">
        <v>-0.033944189920866</v>
      </c>
      <c r="G933">
        <v>-0.121401515151515</v>
      </c>
      <c r="H933">
        <v>-0.345974904835753</v>
      </c>
      <c r="I933">
        <v>1.310258964143426</v>
      </c>
    </row>
    <row r="934" spans="1:9">
      <c r="A934" s="1" t="s">
        <v>946</v>
      </c>
      <c r="B934">
        <f>HYPERLINK("https://www.suredividend.com/sure-analysis-research-database/","Karat Packaging Inc")</f>
        <v>0</v>
      </c>
      <c r="C934">
        <v>0.08357142857142801</v>
      </c>
      <c r="D934">
        <v>-0.014627935980045</v>
      </c>
      <c r="E934">
        <v>-0.140860385565095</v>
      </c>
      <c r="F934">
        <v>0.05567153792623501</v>
      </c>
      <c r="G934">
        <v>-0.225538345296562</v>
      </c>
      <c r="H934">
        <v>-0.161693191865605</v>
      </c>
      <c r="I934">
        <v>-0.161693191865605</v>
      </c>
    </row>
    <row r="935" spans="1:9">
      <c r="A935" s="1" t="s">
        <v>947</v>
      </c>
      <c r="B935">
        <f>HYPERLINK("https://www.suredividend.com/sure-analysis-research-database/","Karuna Therapeutics Inc")</f>
        <v>0</v>
      </c>
      <c r="C935">
        <v>-0.034316707218167</v>
      </c>
      <c r="D935">
        <v>-0.09380202635209001</v>
      </c>
      <c r="E935">
        <v>0.391803039158386</v>
      </c>
      <c r="F935">
        <v>-0.030483460559796</v>
      </c>
      <c r="G935">
        <v>0.5226182864450121</v>
      </c>
      <c r="H935">
        <v>0.7781407504200111</v>
      </c>
      <c r="I935">
        <v>8.515984015984015</v>
      </c>
    </row>
    <row r="936" spans="1:9">
      <c r="A936" s="1" t="s">
        <v>948</v>
      </c>
      <c r="B936">
        <f>HYPERLINK("https://www.suredividend.com/sure-analysis-research-database/","Kura Sushi USA Inc")</f>
        <v>0</v>
      </c>
      <c r="C936">
        <v>-0.312010235087158</v>
      </c>
      <c r="D936">
        <v>-0.416123778501628</v>
      </c>
      <c r="E936">
        <v>-0.404896942868999</v>
      </c>
      <c r="F936">
        <v>-0.09773489932885901</v>
      </c>
      <c r="G936">
        <v>-0.227370689655172</v>
      </c>
      <c r="H936">
        <v>1.28586609989373</v>
      </c>
      <c r="I936">
        <v>1.193778684344722</v>
      </c>
    </row>
    <row r="937" spans="1:9">
      <c r="A937" s="1" t="s">
        <v>949</v>
      </c>
      <c r="B937">
        <f>HYPERLINK("https://www.suredividend.com/sure-analysis-research-database/","Krystal Biotech Inc")</f>
        <v>0</v>
      </c>
      <c r="C937">
        <v>0.039279177812191</v>
      </c>
      <c r="D937">
        <v>0.115611304216412</v>
      </c>
      <c r="E937">
        <v>0.009987686414010001</v>
      </c>
      <c r="F937">
        <v>-0.068164604897753</v>
      </c>
      <c r="G937">
        <v>0.149665161189845</v>
      </c>
      <c r="H937">
        <v>0.112920247248605</v>
      </c>
      <c r="I937">
        <v>6.237254901960784</v>
      </c>
    </row>
    <row r="938" spans="1:9">
      <c r="A938" s="1" t="s">
        <v>950</v>
      </c>
      <c r="B938">
        <f>HYPERLINK("https://www.suredividend.com/sure-analysis-KTB/","Kontoor Brands Inc")</f>
        <v>0</v>
      </c>
      <c r="C938">
        <v>0.032343076185912</v>
      </c>
      <c r="D938">
        <v>0.344889793319558</v>
      </c>
      <c r="E938">
        <v>0.31702009303804</v>
      </c>
      <c r="F938">
        <v>0.077519379844961</v>
      </c>
      <c r="G938">
        <v>-0.108721867030155</v>
      </c>
      <c r="H938">
        <v>0.086252316069425</v>
      </c>
      <c r="I938">
        <v>0.06395061728395</v>
      </c>
    </row>
    <row r="939" spans="1:9">
      <c r="A939" s="1" t="s">
        <v>951</v>
      </c>
      <c r="B939">
        <f>HYPERLINK("https://www.suredividend.com/sure-analysis-research-database/","Kratos Defense &amp; Security Solutions Inc")</f>
        <v>0</v>
      </c>
      <c r="C939">
        <v>0.141280353200882</v>
      </c>
      <c r="D939">
        <v>0.036072144288577</v>
      </c>
      <c r="E939">
        <v>-0.251267197682838</v>
      </c>
      <c r="F939">
        <v>0.001937984496124</v>
      </c>
      <c r="G939">
        <v>-0.44138303619665</v>
      </c>
      <c r="H939">
        <v>-0.6108392924350771</v>
      </c>
      <c r="I939">
        <v>-0.08414526129317901</v>
      </c>
    </row>
    <row r="940" spans="1:9">
      <c r="A940" s="1" t="s">
        <v>952</v>
      </c>
      <c r="B940">
        <f>HYPERLINK("https://www.suredividend.com/sure-analysis-research-database/","Kura Oncology Inc")</f>
        <v>0</v>
      </c>
      <c r="C940">
        <v>-0.211118464592984</v>
      </c>
      <c r="D940">
        <v>-0.18019257221458</v>
      </c>
      <c r="E940">
        <v>-0.3652822151224701</v>
      </c>
      <c r="F940">
        <v>-0.03948428686543101</v>
      </c>
      <c r="G940">
        <v>-0.07525213343677201</v>
      </c>
      <c r="H940">
        <v>-0.6954522227899841</v>
      </c>
      <c r="I940">
        <v>-0.20797342192691</v>
      </c>
    </row>
    <row r="941" spans="1:9">
      <c r="A941" s="1" t="s">
        <v>953</v>
      </c>
      <c r="B941">
        <f>HYPERLINK("https://www.suredividend.com/sure-analysis-research-database/","KVH Industries, Inc.")</f>
        <v>0</v>
      </c>
      <c r="C941">
        <v>0.028942115768463</v>
      </c>
      <c r="D941">
        <v>0.170261066969352</v>
      </c>
      <c r="E941">
        <v>0.218676122931442</v>
      </c>
      <c r="F941">
        <v>0.008806262230919001</v>
      </c>
      <c r="G941">
        <v>0.121871599564744</v>
      </c>
      <c r="H941">
        <v>-0.140116763969974</v>
      </c>
      <c r="I941">
        <v>-0.04537037037037001</v>
      </c>
    </row>
    <row r="942" spans="1:9">
      <c r="A942" s="1" t="s">
        <v>954</v>
      </c>
      <c r="B942">
        <f>HYPERLINK("https://www.suredividend.com/sure-analysis-research-database/","Kennedy-Wilson Holdings Inc")</f>
        <v>0</v>
      </c>
      <c r="C942">
        <v>-0.01637923563567</v>
      </c>
      <c r="D942">
        <v>0.104047246829946</v>
      </c>
      <c r="E942">
        <v>-0.132509335487956</v>
      </c>
      <c r="F942">
        <v>0.010171646535282</v>
      </c>
      <c r="G942">
        <v>-0.308330503974161</v>
      </c>
      <c r="H942">
        <v>-0.038740744325606</v>
      </c>
      <c r="I942">
        <v>0.131572950492793</v>
      </c>
    </row>
    <row r="943" spans="1:9">
      <c r="A943" s="1" t="s">
        <v>955</v>
      </c>
      <c r="B943">
        <f>HYPERLINK("https://www.suredividend.com/sure-analysis-research-database/","Quaker Houghton")</f>
        <v>0</v>
      </c>
      <c r="C943">
        <v>-0.010409556313993</v>
      </c>
      <c r="D943">
        <v>0.26004771624047</v>
      </c>
      <c r="E943">
        <v>0.242114958285585</v>
      </c>
      <c r="F943">
        <v>0.04236069502696201</v>
      </c>
      <c r="G943">
        <v>-0.227531613391938</v>
      </c>
      <c r="H943">
        <v>-0.347796013896589</v>
      </c>
      <c r="I943">
        <v>0.198870386654133</v>
      </c>
    </row>
    <row r="944" spans="1:9">
      <c r="A944" s="1" t="s">
        <v>956</v>
      </c>
      <c r="B944">
        <f>HYPERLINK("https://www.suredividend.com/sure-analysis-research-database/","Kymera Therapeutics Inc")</f>
        <v>0</v>
      </c>
      <c r="C944">
        <v>0.043629343629343</v>
      </c>
      <c r="D944">
        <v>0.330871491875923</v>
      </c>
      <c r="E944">
        <v>0.025417298937784</v>
      </c>
      <c r="F944">
        <v>0.08293269230769201</v>
      </c>
      <c r="G944">
        <v>-0.5134989200863931</v>
      </c>
      <c r="H944">
        <v>-0.649643551523007</v>
      </c>
      <c r="I944">
        <v>-0.187312086590499</v>
      </c>
    </row>
    <row r="945" spans="1:9">
      <c r="A945" s="1" t="s">
        <v>957</v>
      </c>
      <c r="B945">
        <f>HYPERLINK("https://www.suredividend.com/sure-analysis-research-database/","Kezar Life Sciences Inc")</f>
        <v>0</v>
      </c>
      <c r="C945">
        <v>-0.09155937052932701</v>
      </c>
      <c r="D945">
        <v>-0.172099087353324</v>
      </c>
      <c r="E945">
        <v>-0.38647342995169</v>
      </c>
      <c r="F945">
        <v>-0.09801136363636301</v>
      </c>
      <c r="G945">
        <v>-0.5337738619676941</v>
      </c>
      <c r="H945">
        <v>0.165137614678898</v>
      </c>
      <c r="I945">
        <v>-0.64225352112676</v>
      </c>
    </row>
    <row r="946" spans="1:9">
      <c r="A946" s="1" t="s">
        <v>958</v>
      </c>
      <c r="B946">
        <f>HYPERLINK("https://www.suredividend.com/sure-analysis-research-database/","Standard BioTools Inc")</f>
        <v>0</v>
      </c>
      <c r="C946">
        <v>0.222222222222222</v>
      </c>
      <c r="D946">
        <v>0.41025641025641</v>
      </c>
      <c r="E946">
        <v>-0.057142857142857</v>
      </c>
      <c r="F946">
        <v>0.41025641025641</v>
      </c>
      <c r="G946">
        <v>-0.4811320754716981</v>
      </c>
      <c r="H946">
        <v>-0.7389240506329111</v>
      </c>
      <c r="I946">
        <v>-0.744186046511627</v>
      </c>
    </row>
    <row r="947" spans="1:9">
      <c r="A947" s="1" t="s">
        <v>959</v>
      </c>
      <c r="B947">
        <f>HYPERLINK("https://www.suredividend.com/sure-analysis-research-database/","Landos Biopharma Inc")</f>
        <v>0</v>
      </c>
      <c r="C947">
        <v>0.461711711711711</v>
      </c>
      <c r="D947">
        <v>-0.400461893764434</v>
      </c>
      <c r="E947">
        <v>-0.52805720518725</v>
      </c>
      <c r="F947">
        <v>-0.221355728854229</v>
      </c>
      <c r="G947">
        <v>-0.9068421052631581</v>
      </c>
      <c r="H947">
        <v>-0.9675500000000001</v>
      </c>
      <c r="I947">
        <v>-0.9675500000000001</v>
      </c>
    </row>
    <row r="948" spans="1:9">
      <c r="A948" s="1" t="s">
        <v>960</v>
      </c>
      <c r="B948">
        <f>HYPERLINK("https://www.suredividend.com/sure-analysis-LADR/","Ladder Capital Corp")</f>
        <v>0</v>
      </c>
      <c r="C948">
        <v>0.017641055547455</v>
      </c>
      <c r="D948">
        <v>0.160972688865972</v>
      </c>
      <c r="E948">
        <v>0.021842243953856</v>
      </c>
      <c r="F948">
        <v>0.042828685258964</v>
      </c>
      <c r="G948">
        <v>-0.066878186160921</v>
      </c>
      <c r="H948">
        <v>0.222673766816143</v>
      </c>
      <c r="I948">
        <v>0.156152342671628</v>
      </c>
    </row>
    <row r="949" spans="1:9">
      <c r="A949" s="1" t="s">
        <v>961</v>
      </c>
      <c r="B949">
        <f>HYPERLINK("https://www.suredividend.com/sure-analysis-LANC/","Lancaster Colony Corp.")</f>
        <v>0</v>
      </c>
      <c r="C949">
        <v>-0.01161283891547</v>
      </c>
      <c r="D949">
        <v>0.264290286303001</v>
      </c>
      <c r="E949">
        <v>0.542497833767098</v>
      </c>
      <c r="F949">
        <v>0.005119107957425001</v>
      </c>
      <c r="G949">
        <v>0.185428630692744</v>
      </c>
      <c r="H949">
        <v>0.144149180760108</v>
      </c>
      <c r="I949">
        <v>0.676206672707355</v>
      </c>
    </row>
    <row r="950" spans="1:9">
      <c r="A950" s="1" t="s">
        <v>962</v>
      </c>
      <c r="B950">
        <f>HYPERLINK("https://www.suredividend.com/sure-analysis-LAND/","Gladstone Land Corp")</f>
        <v>0</v>
      </c>
      <c r="C950">
        <v>-0.009084703040487</v>
      </c>
      <c r="D950">
        <v>0.048193574190108</v>
      </c>
      <c r="E950">
        <v>-0.184042341586598</v>
      </c>
      <c r="F950">
        <v>0.0283378746594</v>
      </c>
      <c r="G950">
        <v>-0.399578081895385</v>
      </c>
      <c r="H950">
        <v>0.347934167666723</v>
      </c>
      <c r="I950">
        <v>0.6069831807536721</v>
      </c>
    </row>
    <row r="951" spans="1:9">
      <c r="A951" s="1" t="s">
        <v>963</v>
      </c>
      <c r="B951">
        <f>HYPERLINK("https://www.suredividend.com/sure-analysis-research-database/","nLIGHT Inc")</f>
        <v>0</v>
      </c>
      <c r="C951">
        <v>0.116981132075471</v>
      </c>
      <c r="D951">
        <v>0.247629083245521</v>
      </c>
      <c r="E951">
        <v>0.110694183864915</v>
      </c>
      <c r="F951">
        <v>0.167652859960552</v>
      </c>
      <c r="G951">
        <v>-0.494449188727583</v>
      </c>
      <c r="H951">
        <v>-0.663731894348196</v>
      </c>
      <c r="I951">
        <v>-0.560667903525046</v>
      </c>
    </row>
    <row r="952" spans="1:9">
      <c r="A952" s="1" t="s">
        <v>964</v>
      </c>
      <c r="B952">
        <f>HYPERLINK("https://www.suredividend.com/sure-analysis-research-database/","Laureate Education Inc")</f>
        <v>0</v>
      </c>
      <c r="C952">
        <v>-0.029292929292929</v>
      </c>
      <c r="D952">
        <v>-0.038740459924179</v>
      </c>
      <c r="E952">
        <v>-0.111657530574325</v>
      </c>
      <c r="F952">
        <v>-0.001039501039501</v>
      </c>
      <c r="G952">
        <v>-0.16068402941536</v>
      </c>
      <c r="H952">
        <v>-0.04292401155263401</v>
      </c>
      <c r="I952">
        <v>-0.04292401155263401</v>
      </c>
    </row>
    <row r="953" spans="1:9">
      <c r="A953" s="1" t="s">
        <v>965</v>
      </c>
      <c r="B953">
        <f>HYPERLINK("https://www.suredividend.com/sure-analysis-research-database/","CS Disco Inc")</f>
        <v>0</v>
      </c>
      <c r="C953">
        <v>-0.107402031930333</v>
      </c>
      <c r="D953">
        <v>-0.388059701492537</v>
      </c>
      <c r="E953">
        <v>-0.7542948461845781</v>
      </c>
      <c r="F953">
        <v>-0.026898734177215</v>
      </c>
      <c r="G953">
        <v>-0.8080524344569281</v>
      </c>
      <c r="H953">
        <v>-0.85</v>
      </c>
      <c r="I953">
        <v>-0.85</v>
      </c>
    </row>
    <row r="954" spans="1:9">
      <c r="A954" s="1" t="s">
        <v>966</v>
      </c>
      <c r="B954">
        <f>HYPERLINK("https://www.suredividend.com/sure-analysis-research-database/","Lazydays Holdings Inc")</f>
        <v>0</v>
      </c>
      <c r="C954">
        <v>-0.08255563531945401</v>
      </c>
      <c r="D954">
        <v>0.00235294117647</v>
      </c>
      <c r="E954">
        <v>0.07666385846672201</v>
      </c>
      <c r="F954">
        <v>0.070351758793969</v>
      </c>
      <c r="G954">
        <v>-0.336448598130841</v>
      </c>
      <c r="H954">
        <v>-0.283230510375771</v>
      </c>
      <c r="I954">
        <v>0.151351351351351</v>
      </c>
    </row>
    <row r="955" spans="1:9">
      <c r="A955" s="1" t="s">
        <v>967</v>
      </c>
      <c r="B955">
        <f>HYPERLINK("https://www.suredividend.com/sure-analysis-research-database/","Lakeland Bancorp, Inc.")</f>
        <v>0</v>
      </c>
      <c r="C955">
        <v>-0.026790595954073</v>
      </c>
      <c r="D955">
        <v>0.12642543443318</v>
      </c>
      <c r="E955">
        <v>0.241352376701629</v>
      </c>
      <c r="F955">
        <v>0.010789324247586</v>
      </c>
      <c r="G955">
        <v>-0.09539055750368401</v>
      </c>
      <c r="H955">
        <v>0.3820626897424541</v>
      </c>
      <c r="I955">
        <v>0.07931118117875301</v>
      </c>
    </row>
    <row r="956" spans="1:9">
      <c r="A956" s="1" t="s">
        <v>968</v>
      </c>
      <c r="B956">
        <f>HYPERLINK("https://www.suredividend.com/sure-analysis-research-database/","Luther Burbank Corp")</f>
        <v>0</v>
      </c>
      <c r="C956">
        <v>-0.025505716798592</v>
      </c>
      <c r="D956">
        <v>-0.040501571741559</v>
      </c>
      <c r="E956">
        <v>-0.105217679218922</v>
      </c>
      <c r="F956">
        <v>-0.002700270027002</v>
      </c>
      <c r="G956">
        <v>-0.182643719708761</v>
      </c>
      <c r="H956">
        <v>0.146202944127778</v>
      </c>
      <c r="I956">
        <v>0.052631578947368</v>
      </c>
    </row>
    <row r="957" spans="1:9">
      <c r="A957" s="1" t="s">
        <v>969</v>
      </c>
      <c r="B957">
        <f>HYPERLINK("https://www.suredividend.com/sure-analysis-research-database/","Liberty Energy Inc")</f>
        <v>0</v>
      </c>
      <c r="C957">
        <v>0.109154929577464</v>
      </c>
      <c r="D957">
        <v>0.044221971756281</v>
      </c>
      <c r="E957">
        <v>0.298198183346796</v>
      </c>
      <c r="F957">
        <v>-0.016239850093691</v>
      </c>
      <c r="G957">
        <v>0.302481744581262</v>
      </c>
      <c r="H957">
        <v>0.276171647112206</v>
      </c>
      <c r="I957">
        <v>-0.250399786780383</v>
      </c>
    </row>
    <row r="958" spans="1:9">
      <c r="A958" s="1" t="s">
        <v>970</v>
      </c>
      <c r="B958">
        <f>HYPERLINK("https://www.suredividend.com/sure-analysis-research-database/","LendingClub Corp")</f>
        <v>0</v>
      </c>
      <c r="C958">
        <v>-0.07454739084132</v>
      </c>
      <c r="D958">
        <v>-0.235035211267605</v>
      </c>
      <c r="E958">
        <v>-0.313586097946287</v>
      </c>
      <c r="F958">
        <v>-0.0125</v>
      </c>
      <c r="G958">
        <v>-0.612572447614801</v>
      </c>
      <c r="H958">
        <v>-0.231653404067197</v>
      </c>
      <c r="I958">
        <v>-0.564411027568922</v>
      </c>
    </row>
    <row r="959" spans="1:9">
      <c r="A959" s="1" t="s">
        <v>971</v>
      </c>
      <c r="B959">
        <f>HYPERLINK("https://www.suredividend.com/sure-analysis-research-database/","LCI Industries")</f>
        <v>0</v>
      </c>
      <c r="C959">
        <v>0.09014783417760701</v>
      </c>
      <c r="D959">
        <v>0.121679636807686</v>
      </c>
      <c r="E959">
        <v>-0.101598209500992</v>
      </c>
      <c r="F959">
        <v>0.140616549486208</v>
      </c>
      <c r="G959">
        <v>-0.281864088777806</v>
      </c>
      <c r="H959">
        <v>-0.194470607916875</v>
      </c>
      <c r="I959">
        <v>-0.05387485128473801</v>
      </c>
    </row>
    <row r="960" spans="1:9">
      <c r="A960" s="1" t="s">
        <v>972</v>
      </c>
      <c r="B960">
        <f>HYPERLINK("https://www.suredividend.com/sure-analysis-research-database/","Lineage Cell Therapeutics Inc")</f>
        <v>0</v>
      </c>
      <c r="C960">
        <v>0.131147540983606</v>
      </c>
      <c r="D960">
        <v>0.149999999999999</v>
      </c>
      <c r="E960">
        <v>-0.197674418604651</v>
      </c>
      <c r="F960">
        <v>0.179487179487179</v>
      </c>
      <c r="G960">
        <v>-0.303030303030303</v>
      </c>
      <c r="H960">
        <v>-0.303030303030303</v>
      </c>
      <c r="I960">
        <v>-0.451815365059188</v>
      </c>
    </row>
    <row r="961" spans="1:9">
      <c r="A961" s="1" t="s">
        <v>973</v>
      </c>
      <c r="B961">
        <f>HYPERLINK("https://www.suredividend.com/sure-analysis-research-database/","Lifetime Brands, Inc.")</f>
        <v>0</v>
      </c>
      <c r="C961">
        <v>-0.124856815578465</v>
      </c>
      <c r="D961">
        <v>0.120809799750605</v>
      </c>
      <c r="E961">
        <v>-0.293514948077047</v>
      </c>
      <c r="F961">
        <v>0.006587615283267001</v>
      </c>
      <c r="G961">
        <v>-0.501673047947662</v>
      </c>
      <c r="H961">
        <v>-0.468824739974414</v>
      </c>
      <c r="I961">
        <v>-0.539739627574656</v>
      </c>
    </row>
    <row r="962" spans="1:9">
      <c r="A962" s="1" t="s">
        <v>974</v>
      </c>
      <c r="B962">
        <f>HYPERLINK("https://www.suredividend.com/sure-analysis-research-database/","Lands` End, Inc.")</f>
        <v>0</v>
      </c>
      <c r="C962">
        <v>0.02322738386308</v>
      </c>
      <c r="D962">
        <v>-0.035714285714285</v>
      </c>
      <c r="E962">
        <v>-0.256</v>
      </c>
      <c r="F962">
        <v>0.102766798418972</v>
      </c>
      <c r="G962">
        <v>-0.5676652892561981</v>
      </c>
      <c r="H962">
        <v>-0.6270053475935831</v>
      </c>
      <c r="I962">
        <v>-0.548787061994609</v>
      </c>
    </row>
    <row r="963" spans="1:9">
      <c r="A963" s="1" t="s">
        <v>975</v>
      </c>
      <c r="B963">
        <f>HYPERLINK("https://www.suredividend.com/sure-analysis-research-database/","Legacy Housing Corp")</f>
        <v>0</v>
      </c>
      <c r="C963">
        <v>0.016847826086956</v>
      </c>
      <c r="D963">
        <v>0.120359281437125</v>
      </c>
      <c r="E963">
        <v>0.412075471698113</v>
      </c>
      <c r="F963">
        <v>-0.013185654008438</v>
      </c>
      <c r="G963">
        <v>-0.251899240303878</v>
      </c>
      <c r="H963">
        <v>0.256548018804566</v>
      </c>
      <c r="I963">
        <v>0.55527847049044</v>
      </c>
    </row>
    <row r="964" spans="1:9">
      <c r="A964" s="1" t="s">
        <v>976</v>
      </c>
      <c r="B964">
        <f>HYPERLINK("https://www.suredividend.com/sure-analysis-research-database/","Centrus Energy Corp")</f>
        <v>0</v>
      </c>
      <c r="C964">
        <v>0.05217650566487701</v>
      </c>
      <c r="D964">
        <v>-0.09836484414920801</v>
      </c>
      <c r="E964">
        <v>0.27631103074141</v>
      </c>
      <c r="F964">
        <v>0.08651477832512301</v>
      </c>
      <c r="G964">
        <v>-0.31912020065599</v>
      </c>
      <c r="H964">
        <v>0.599003171726325</v>
      </c>
      <c r="I964">
        <v>8.486559139784946</v>
      </c>
    </row>
    <row r="965" spans="1:9">
      <c r="A965" s="1" t="s">
        <v>977</v>
      </c>
      <c r="B965">
        <f>HYPERLINK("https://www.suredividend.com/sure-analysis-research-database/","LifeStance Health Group Inc")</f>
        <v>0</v>
      </c>
      <c r="C965">
        <v>0</v>
      </c>
      <c r="D965">
        <v>-0.339547270306258</v>
      </c>
      <c r="E965">
        <v>-0.177446102819237</v>
      </c>
      <c r="F965">
        <v>0.004048582995951001</v>
      </c>
      <c r="G965">
        <v>-0.467239527389903</v>
      </c>
      <c r="H965">
        <v>-0.773515981735159</v>
      </c>
      <c r="I965">
        <v>-0.773515981735159</v>
      </c>
    </row>
    <row r="966" spans="1:9">
      <c r="A966" s="1" t="s">
        <v>978</v>
      </c>
      <c r="B966">
        <f>HYPERLINK("https://www.suredividend.com/sure-analysis-research-database/","Lions Gate Entertainment Corp.")</f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>
      <c r="A967" s="1" t="s">
        <v>979</v>
      </c>
      <c r="B967">
        <f>HYPERLINK("https://www.suredividend.com/sure-analysis-research-database/","Lions Gate Entertainment Corp.")</f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>
      <c r="A968" s="1" t="s">
        <v>980</v>
      </c>
      <c r="B968">
        <f>HYPERLINK("https://www.suredividend.com/sure-analysis-research-database/","LGI Homes Inc")</f>
        <v>0</v>
      </c>
      <c r="C968">
        <v>0.060716898317483</v>
      </c>
      <c r="D968">
        <v>0.161991986262163</v>
      </c>
      <c r="E968">
        <v>0.036560457516339</v>
      </c>
      <c r="F968">
        <v>0.09611231101511801</v>
      </c>
      <c r="G968">
        <v>-0.240724117295032</v>
      </c>
      <c r="H968">
        <v>0.042843933011404</v>
      </c>
      <c r="I968">
        <v>0.335702066061323</v>
      </c>
    </row>
    <row r="969" spans="1:9">
      <c r="A969" s="1" t="s">
        <v>981</v>
      </c>
      <c r="B969">
        <f>HYPERLINK("https://www.suredividend.com/sure-analysis-research-database/","Ligand Pharmaceuticals, Inc.")</f>
        <v>0</v>
      </c>
      <c r="C969">
        <v>0.05692210659098</v>
      </c>
      <c r="D969">
        <v>-0.28782405439864</v>
      </c>
      <c r="E969">
        <v>-0.294421052631578</v>
      </c>
      <c r="F969">
        <v>0.003443113772455</v>
      </c>
      <c r="G969">
        <v>-0.5365415197400261</v>
      </c>
      <c r="H969">
        <v>-0.369544770504138</v>
      </c>
      <c r="I969">
        <v>-0.535320623916811</v>
      </c>
    </row>
    <row r="970" spans="1:9">
      <c r="A970" s="1" t="s">
        <v>982</v>
      </c>
      <c r="B970">
        <f>HYPERLINK("https://www.suredividend.com/sure-analysis-research-database/","LHC Group Inc")</f>
        <v>0</v>
      </c>
      <c r="C970">
        <v>-0.011836115326251</v>
      </c>
      <c r="D970">
        <v>-0.012974414938765</v>
      </c>
      <c r="E970">
        <v>0.024350342918265</v>
      </c>
      <c r="F970">
        <v>0.006864988558352001</v>
      </c>
      <c r="G970">
        <v>0.271676300578034</v>
      </c>
      <c r="H970">
        <v>-0.265475545930337</v>
      </c>
      <c r="I970">
        <v>1.599393262015008</v>
      </c>
    </row>
    <row r="971" spans="1:9">
      <c r="A971" s="1" t="s">
        <v>983</v>
      </c>
      <c r="B971">
        <f>HYPERLINK("https://www.suredividend.com/sure-analysis-research-database/","Liberty Latin America Ltd")</f>
        <v>0</v>
      </c>
      <c r="C971">
        <v>0.23623188405797</v>
      </c>
      <c r="D971">
        <v>0.186369958275382</v>
      </c>
      <c r="E971">
        <v>0.149595687331536</v>
      </c>
      <c r="F971">
        <v>0.132802124833997</v>
      </c>
      <c r="G971">
        <v>-0.274042553191489</v>
      </c>
      <c r="H971">
        <v>-0.255021834061135</v>
      </c>
      <c r="I971">
        <v>-0.5723774909136481</v>
      </c>
    </row>
    <row r="972" spans="1:9">
      <c r="A972" s="1" t="s">
        <v>984</v>
      </c>
      <c r="B972">
        <f>HYPERLINK("https://www.suredividend.com/sure-analysis-research-database/","Liberty Latin America Ltd")</f>
        <v>0</v>
      </c>
      <c r="C972">
        <v>0.238784370477568</v>
      </c>
      <c r="D972">
        <v>0.193863319386331</v>
      </c>
      <c r="E972">
        <v>0.158322056833559</v>
      </c>
      <c r="F972">
        <v>0.126315789473684</v>
      </c>
      <c r="G972">
        <v>-0.259515570934256</v>
      </c>
      <c r="H972">
        <v>-0.255652173913043</v>
      </c>
      <c r="I972">
        <v>-0.566654685546212</v>
      </c>
    </row>
    <row r="973" spans="1:9">
      <c r="A973" s="1" t="s">
        <v>985</v>
      </c>
      <c r="B973">
        <f>HYPERLINK("https://www.suredividend.com/sure-analysis-research-database/","Lindblad Expeditions Holdings Inc")</f>
        <v>0</v>
      </c>
      <c r="C973">
        <v>0.101204819277108</v>
      </c>
      <c r="D973">
        <v>0.274755927475592</v>
      </c>
      <c r="E973">
        <v>0.105199516324063</v>
      </c>
      <c r="F973">
        <v>0.187012987012987</v>
      </c>
      <c r="G973">
        <v>-0.499452354874041</v>
      </c>
      <c r="H973">
        <v>-0.428392745465916</v>
      </c>
      <c r="I973">
        <v>-0.055785123966942</v>
      </c>
    </row>
    <row r="974" spans="1:9">
      <c r="A974" s="1" t="s">
        <v>986</v>
      </c>
      <c r="B974">
        <f>HYPERLINK("https://www.suredividend.com/sure-analysis-research-database/","LivaNova PLC")</f>
        <v>0</v>
      </c>
      <c r="C974">
        <v>0.031526548672566</v>
      </c>
      <c r="D974">
        <v>0.15360824742268</v>
      </c>
      <c r="E974">
        <v>-0.08801955990220001</v>
      </c>
      <c r="F974">
        <v>0.007382066978754</v>
      </c>
      <c r="G974">
        <v>-0.322475175587309</v>
      </c>
      <c r="H974">
        <v>-0.150212636695018</v>
      </c>
      <c r="I974">
        <v>-0.318347953216374</v>
      </c>
    </row>
    <row r="975" spans="1:9">
      <c r="A975" s="1" t="s">
        <v>987</v>
      </c>
      <c r="B975">
        <f>HYPERLINK("https://www.suredividend.com/sure-analysis-research-database/","Lakeland Financial Corp.")</f>
        <v>0</v>
      </c>
      <c r="C975">
        <v>-0.034464261767466</v>
      </c>
      <c r="D975">
        <v>-0.005217083738615001</v>
      </c>
      <c r="E975">
        <v>0.08250654390240601</v>
      </c>
      <c r="F975">
        <v>-0.013293134164725</v>
      </c>
      <c r="G975">
        <v>-0.118104218034033</v>
      </c>
      <c r="H975">
        <v>0.284122890560626</v>
      </c>
      <c r="I975">
        <v>0.6451088856443681</v>
      </c>
    </row>
    <row r="976" spans="1:9">
      <c r="A976" s="1" t="s">
        <v>988</v>
      </c>
      <c r="B976">
        <f>HYPERLINK("https://www.suredividend.com/sure-analysis-research-database/","LL Flooring Holdings Inc")</f>
        <v>0</v>
      </c>
      <c r="C976">
        <v>-0.108974358974359</v>
      </c>
      <c r="D976">
        <v>-0.261620185922974</v>
      </c>
      <c r="E976">
        <v>-0.440080563947633</v>
      </c>
      <c r="F976">
        <v>-0.010676156583629</v>
      </c>
      <c r="G976">
        <v>-0.6628259551243171</v>
      </c>
      <c r="H976">
        <v>-0.824771509612354</v>
      </c>
      <c r="I976">
        <v>-0.8207607994842031</v>
      </c>
    </row>
    <row r="977" spans="1:9">
      <c r="A977" s="1" t="s">
        <v>989</v>
      </c>
      <c r="B977">
        <f>HYPERLINK("https://www.suredividend.com/sure-analysis-research-database/","Limelight Networks Inc")</f>
        <v>0</v>
      </c>
      <c r="C977">
        <v>-0.276470588235294</v>
      </c>
      <c r="D977">
        <v>-0.439635535307517</v>
      </c>
      <c r="E977">
        <v>-0.259036144578313</v>
      </c>
      <c r="F977">
        <v>-0.282798833819242</v>
      </c>
      <c r="G977">
        <v>-0.259036144578313</v>
      </c>
      <c r="H977">
        <v>-0.522330097087378</v>
      </c>
      <c r="I977">
        <v>-0.136842105263158</v>
      </c>
    </row>
    <row r="978" spans="1:9">
      <c r="A978" s="1" t="s">
        <v>990</v>
      </c>
      <c r="B978">
        <f>HYPERLINK("https://www.suredividend.com/sure-analysis-research-database/","Lemaitre Vascular Inc")</f>
        <v>0</v>
      </c>
      <c r="C978">
        <v>-0.03554502369668201</v>
      </c>
      <c r="D978">
        <v>-0.07575619947315801</v>
      </c>
      <c r="E978">
        <v>-0.030568385312796</v>
      </c>
      <c r="F978">
        <v>-0.027162103433289</v>
      </c>
      <c r="G978">
        <v>-0.03234103440301</v>
      </c>
      <c r="H978">
        <v>0.06513577685679001</v>
      </c>
      <c r="I978">
        <v>0.517385365721393</v>
      </c>
    </row>
    <row r="979" spans="1:9">
      <c r="A979" s="1" t="s">
        <v>991</v>
      </c>
      <c r="B979">
        <f>HYPERLINK("https://www.suredividend.com/sure-analysis-research-database/","Limoneira Co")</f>
        <v>0</v>
      </c>
      <c r="C979">
        <v>0.023725976241831</v>
      </c>
      <c r="D979">
        <v>0.018023497775074</v>
      </c>
      <c r="E979">
        <v>-0.051553156270038</v>
      </c>
      <c r="F979">
        <v>0.041769041769041</v>
      </c>
      <c r="G979">
        <v>-0.171821082101699</v>
      </c>
      <c r="H979">
        <v>-0.233698009542628</v>
      </c>
      <c r="I979">
        <v>-0.3652599589814211</v>
      </c>
    </row>
    <row r="980" spans="1:9">
      <c r="A980" s="1" t="s">
        <v>992</v>
      </c>
      <c r="B980">
        <f>HYPERLINK("https://www.suredividend.com/sure-analysis-research-database/","Lifecore Biomedical Inc")</f>
        <v>0</v>
      </c>
      <c r="C980">
        <v>0.070904645476772</v>
      </c>
      <c r="D980">
        <v>-0.219946571682992</v>
      </c>
      <c r="E980">
        <v>-0.04782608695652101</v>
      </c>
      <c r="F980">
        <v>-0.21081081081081</v>
      </c>
      <c r="G980">
        <v>-0.078864353312302</v>
      </c>
      <c r="H980">
        <v>-0.110659898477157</v>
      </c>
      <c r="I980">
        <v>-0.2992</v>
      </c>
    </row>
    <row r="981" spans="1:9">
      <c r="A981" s="1" t="s">
        <v>993</v>
      </c>
      <c r="B981">
        <f>HYPERLINK("https://www.suredividend.com/sure-analysis-LNN/","Lindsay Corporation")</f>
        <v>0</v>
      </c>
      <c r="C981">
        <v>-0.132130384167636</v>
      </c>
      <c r="D981">
        <v>-0.014750330729349</v>
      </c>
      <c r="E981">
        <v>0.109594607266021</v>
      </c>
      <c r="F981">
        <v>-0.084433527786306</v>
      </c>
      <c r="G981">
        <v>0.100439659225352</v>
      </c>
      <c r="H981">
        <v>0.05350326932235201</v>
      </c>
      <c r="I981">
        <v>0.7633597265668881</v>
      </c>
    </row>
    <row r="982" spans="1:9">
      <c r="A982" s="1" t="s">
        <v>994</v>
      </c>
      <c r="B982">
        <f>HYPERLINK("https://www.suredividend.com/sure-analysis-research-database/","Lantheus Holdings Inc")</f>
        <v>0</v>
      </c>
      <c r="C982">
        <v>-0.104108047270681</v>
      </c>
      <c r="D982">
        <v>-0.270171149144254</v>
      </c>
      <c r="E982">
        <v>-0.295471308452574</v>
      </c>
      <c r="F982">
        <v>-0.06279434850863401</v>
      </c>
      <c r="G982">
        <v>0.7761249535143171</v>
      </c>
      <c r="H982">
        <v>2.222672064777328</v>
      </c>
      <c r="I982">
        <v>1.122666666666666</v>
      </c>
    </row>
    <row r="983" spans="1:9">
      <c r="A983" s="1" t="s">
        <v>995</v>
      </c>
      <c r="B983">
        <f>HYPERLINK("https://www.suredividend.com/sure-analysis-research-database/","Live Oak Bancshares Inc")</f>
        <v>0</v>
      </c>
      <c r="C983">
        <v>-0.022320025149324</v>
      </c>
      <c r="D983">
        <v>-0.07876691025530801</v>
      </c>
      <c r="E983">
        <v>-0.055598237521598</v>
      </c>
      <c r="F983">
        <v>0.029801324503311</v>
      </c>
      <c r="G983">
        <v>-0.653706454421756</v>
      </c>
      <c r="H983">
        <v>-0.345345851050393</v>
      </c>
      <c r="I983">
        <v>0.309198063565565</v>
      </c>
    </row>
    <row r="984" spans="1:9">
      <c r="A984" s="1" t="s">
        <v>996</v>
      </c>
      <c r="B984">
        <f>HYPERLINK("https://www.suredividend.com/sure-analysis-research-database/","El Pollo Loco Holdings Inc")</f>
        <v>0</v>
      </c>
      <c r="C984">
        <v>-0.036516853932584</v>
      </c>
      <c r="D984">
        <v>0.318672869170735</v>
      </c>
      <c r="E984">
        <v>0.216096436801985</v>
      </c>
      <c r="F984">
        <v>0.033132530120481</v>
      </c>
      <c r="G984">
        <v>-0.139660880906993</v>
      </c>
      <c r="H984">
        <v>-0.3831120170258681</v>
      </c>
      <c r="I984">
        <v>0.170568561872909</v>
      </c>
    </row>
    <row r="985" spans="1:9">
      <c r="A985" s="1" t="s">
        <v>997</v>
      </c>
      <c r="B985">
        <f>HYPERLINK("https://www.suredividend.com/sure-analysis-research-database/","CarLotz Inc")</f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>
      <c r="A986" s="1" t="s">
        <v>998</v>
      </c>
      <c r="B986">
        <f>HYPERLINK("https://www.suredividend.com/sure-analysis-research-database/","Lovesac Company")</f>
        <v>0</v>
      </c>
      <c r="C986">
        <v>0.346761856195818</v>
      </c>
      <c r="D986">
        <v>0.300344657804037</v>
      </c>
      <c r="E986">
        <v>-0.192354740061162</v>
      </c>
      <c r="F986">
        <v>0.19990913221263</v>
      </c>
      <c r="G986">
        <v>-0.528055754110078</v>
      </c>
      <c r="H986">
        <v>-0.444</v>
      </c>
      <c r="I986">
        <v>0.100875364735306</v>
      </c>
    </row>
    <row r="987" spans="1:9">
      <c r="A987" s="1" t="s">
        <v>999</v>
      </c>
      <c r="B987">
        <f>HYPERLINK("https://www.suredividend.com/sure-analysis-research-database/","Dorian LPG Ltd")</f>
        <v>0</v>
      </c>
      <c r="C987">
        <v>-0.103299080584099</v>
      </c>
      <c r="D987">
        <v>0.204661706579865</v>
      </c>
      <c r="E987">
        <v>0.269243429866262</v>
      </c>
      <c r="F987">
        <v>-0.125065963060686</v>
      </c>
      <c r="G987">
        <v>0.6780187638527631</v>
      </c>
      <c r="H987">
        <v>0.7462005918967021</v>
      </c>
      <c r="I987">
        <v>2.268154222187179</v>
      </c>
    </row>
    <row r="988" spans="1:9">
      <c r="A988" s="1" t="s">
        <v>1000</v>
      </c>
      <c r="B988">
        <f>HYPERLINK("https://www.suredividend.com/sure-analysis-research-database/","Laredo Petroleum Inc.")</f>
        <v>0</v>
      </c>
      <c r="C988">
        <v>-0.045075456711675</v>
      </c>
      <c r="D988">
        <v>-0.376102750389205</v>
      </c>
      <c r="E988">
        <v>-0.290603333825048</v>
      </c>
      <c r="F988">
        <v>-0.064760793465577</v>
      </c>
      <c r="G988">
        <v>-0.326941917424772</v>
      </c>
      <c r="H988">
        <v>1.008771929824561</v>
      </c>
      <c r="I988">
        <v>-0.782398190045248</v>
      </c>
    </row>
    <row r="989" spans="1:9">
      <c r="A989" s="1" t="s">
        <v>1001</v>
      </c>
      <c r="B989">
        <f>HYPERLINK("https://www.suredividend.com/sure-analysis-research-database/","Open Lending Corp")</f>
        <v>0</v>
      </c>
      <c r="C989">
        <v>0.059593023255813</v>
      </c>
      <c r="D989">
        <v>-0.016194331983805</v>
      </c>
      <c r="E989">
        <v>-0.247678018575851</v>
      </c>
      <c r="F989">
        <v>0.08</v>
      </c>
      <c r="G989">
        <v>-0.641240157480315</v>
      </c>
      <c r="H989">
        <v>-0.7897923875432521</v>
      </c>
      <c r="I989">
        <v>-0.505091649694501</v>
      </c>
    </row>
    <row r="990" spans="1:9">
      <c r="A990" s="1" t="s">
        <v>1002</v>
      </c>
      <c r="B990">
        <f>HYPERLINK("https://www.suredividend.com/sure-analysis-research-database/","Liveperson Inc")</f>
        <v>0</v>
      </c>
      <c r="C990">
        <v>-0.097643097643097</v>
      </c>
      <c r="D990">
        <v>0.07522567703109301</v>
      </c>
      <c r="E990">
        <v>-0.327899686520376</v>
      </c>
      <c r="F990">
        <v>0.057199211045364</v>
      </c>
      <c r="G990">
        <v>-0.669747381392483</v>
      </c>
      <c r="H990">
        <v>-0.835127653029836</v>
      </c>
      <c r="I990">
        <v>-0.106666666666666</v>
      </c>
    </row>
    <row r="991" spans="1:9">
      <c r="A991" s="1" t="s">
        <v>1003</v>
      </c>
      <c r="B991">
        <f>HYPERLINK("https://www.suredividend.com/sure-analysis-research-database/","Liquidity Services Inc")</f>
        <v>0</v>
      </c>
      <c r="C991">
        <v>0.09531249999999901</v>
      </c>
      <c r="D991">
        <v>-0.174808711006474</v>
      </c>
      <c r="E991">
        <v>-0.112096263457884</v>
      </c>
      <c r="F991">
        <v>-0.002844950213371</v>
      </c>
      <c r="G991">
        <v>-0.346386946386946</v>
      </c>
      <c r="H991">
        <v>-0.135635018495684</v>
      </c>
      <c r="I991">
        <v>1.804</v>
      </c>
    </row>
    <row r="992" spans="1:9">
      <c r="A992" s="1" t="s">
        <v>1004</v>
      </c>
      <c r="B992">
        <f>HYPERLINK("https://www.suredividend.com/sure-analysis-research-database/","Stride Inc")</f>
        <v>0</v>
      </c>
      <c r="C992">
        <v>0.009564949089787</v>
      </c>
      <c r="D992">
        <v>-0.253138552841816</v>
      </c>
      <c r="E992">
        <v>-0.214971209213051</v>
      </c>
      <c r="F992">
        <v>0.046035805626598</v>
      </c>
      <c r="G992">
        <v>0.03708399366085501</v>
      </c>
      <c r="H992">
        <v>0.493382017343678</v>
      </c>
      <c r="I992">
        <v>1.039900249376558</v>
      </c>
    </row>
    <row r="993" spans="1:9">
      <c r="A993" s="1" t="s">
        <v>1005</v>
      </c>
      <c r="B993">
        <f>HYPERLINK("https://www.suredividend.com/sure-analysis-research-database/","Lattice Semiconductor Corp.")</f>
        <v>0</v>
      </c>
      <c r="C993">
        <v>-0.02263667425968</v>
      </c>
      <c r="D993">
        <v>0.337685113016368</v>
      </c>
      <c r="E993">
        <v>0.400734543970618</v>
      </c>
      <c r="F993">
        <v>0.05810727496917401</v>
      </c>
      <c r="G993">
        <v>-0.00232524342392</v>
      </c>
      <c r="H993">
        <v>0.541311180960934</v>
      </c>
      <c r="I993">
        <v>10.3658940397351</v>
      </c>
    </row>
    <row r="994" spans="1:9">
      <c r="A994" s="1" t="s">
        <v>1006</v>
      </c>
      <c r="B994">
        <f>HYPERLINK("https://www.suredividend.com/sure-analysis-research-database/","Landsea Homes Corporation")</f>
        <v>0</v>
      </c>
      <c r="C994">
        <v>0.027932960893854</v>
      </c>
      <c r="D994">
        <v>0.157232704402515</v>
      </c>
      <c r="E994">
        <v>-0.210300429184549</v>
      </c>
      <c r="F994">
        <v>0.059500959692898</v>
      </c>
      <c r="G994">
        <v>-0.287741935483871</v>
      </c>
      <c r="H994">
        <v>-0.45615763546798</v>
      </c>
      <c r="I994">
        <v>-0.426791277258567</v>
      </c>
    </row>
    <row r="995" spans="1:9">
      <c r="A995" s="1" t="s">
        <v>1007</v>
      </c>
      <c r="B995">
        <f>HYPERLINK("https://www.suredividend.com/sure-analysis-research-database/","Laird Superfood Inc")</f>
        <v>0</v>
      </c>
      <c r="C995">
        <v>-0.137619047619047</v>
      </c>
      <c r="D995">
        <v>-0.51054054054054</v>
      </c>
      <c r="E995">
        <v>-0.5449748743718591</v>
      </c>
      <c r="F995">
        <v>0.07797619047619</v>
      </c>
      <c r="G995">
        <v>-0.930346153846153</v>
      </c>
      <c r="H995">
        <v>-0.9798643540137871</v>
      </c>
      <c r="I995">
        <v>-0.977806372549019</v>
      </c>
    </row>
    <row r="996" spans="1:9">
      <c r="A996" s="1" t="s">
        <v>1008</v>
      </c>
      <c r="B996">
        <f>HYPERLINK("https://www.suredividend.com/sure-analysis-LTC/","LTC Properties, Inc.")</f>
        <v>0</v>
      </c>
      <c r="C996">
        <v>-0.067002403451804</v>
      </c>
      <c r="D996">
        <v>0.003635833972918</v>
      </c>
      <c r="E996">
        <v>-0.03879687307182601</v>
      </c>
      <c r="F996">
        <v>0.008443568815085001</v>
      </c>
      <c r="G996">
        <v>0.05775589249444901</v>
      </c>
      <c r="H996">
        <v>0.022805450014415</v>
      </c>
      <c r="I996">
        <v>0.118809933458443</v>
      </c>
    </row>
    <row r="997" spans="1:9">
      <c r="A997" s="1" t="s">
        <v>1009</v>
      </c>
      <c r="B997">
        <f>HYPERLINK("https://www.suredividend.com/sure-analysis-research-database/","Life Time Group Holdings Inc")</f>
        <v>0</v>
      </c>
      <c r="C997">
        <v>0.085393258426966</v>
      </c>
      <c r="D997">
        <v>0.440357852882703</v>
      </c>
      <c r="E997">
        <v>0.081343283582089</v>
      </c>
      <c r="F997">
        <v>0.211538461538461</v>
      </c>
      <c r="G997">
        <v>-0.121818181818181</v>
      </c>
      <c r="H997">
        <v>-0.183661971830985</v>
      </c>
      <c r="I997">
        <v>-0.183661971830985</v>
      </c>
    </row>
    <row r="998" spans="1:9">
      <c r="A998" s="1" t="s">
        <v>1010</v>
      </c>
      <c r="B998">
        <f>HYPERLINK("https://www.suredividend.com/sure-analysis-research-database/","Livent Corp")</f>
        <v>0</v>
      </c>
      <c r="C998">
        <v>-0.128151260504201</v>
      </c>
      <c r="D998">
        <v>-0.29253324241391</v>
      </c>
      <c r="E998">
        <v>-0.06741573033707801</v>
      </c>
      <c r="F998">
        <v>0.044287871162556</v>
      </c>
      <c r="G998">
        <v>-0.128151260504201</v>
      </c>
      <c r="H998">
        <v>-0.042012927054478</v>
      </c>
      <c r="I998">
        <v>0.222746022392457</v>
      </c>
    </row>
    <row r="999" spans="1:9">
      <c r="A999" s="1" t="s">
        <v>1011</v>
      </c>
      <c r="B999">
        <f>HYPERLINK("https://www.suredividend.com/sure-analysis-research-database/","Liberty TripAdvisor Holdings Inc")</f>
        <v>0</v>
      </c>
      <c r="C999">
        <v>0.40641940085592</v>
      </c>
      <c r="D999">
        <v>-0.127522123893805</v>
      </c>
      <c r="E999">
        <v>0.292814057172829</v>
      </c>
      <c r="F999">
        <v>0.4723715651135</v>
      </c>
      <c r="G999">
        <v>-0.578675213675213</v>
      </c>
      <c r="H999">
        <v>-0.826426056338028</v>
      </c>
      <c r="I999">
        <v>-0.893416216216216</v>
      </c>
    </row>
    <row r="1000" spans="1:9">
      <c r="A1000" s="1" t="s">
        <v>1012</v>
      </c>
      <c r="B1000">
        <f>HYPERLINK("https://www.suredividend.com/sure-analysis-research-database/","Luna Innovations Inc")</f>
        <v>0</v>
      </c>
      <c r="C1000">
        <v>0.21571072319202</v>
      </c>
      <c r="D1000">
        <v>1.246543778801843</v>
      </c>
      <c r="E1000">
        <v>0.6638225255972691</v>
      </c>
      <c r="F1000">
        <v>0.109215017064846</v>
      </c>
      <c r="G1000">
        <v>0.303475935828877</v>
      </c>
      <c r="H1000">
        <v>0.003086419753086</v>
      </c>
      <c r="I1000">
        <v>2.764478764478764</v>
      </c>
    </row>
    <row r="1001" spans="1:9">
      <c r="A1001" s="1" t="s">
        <v>1013</v>
      </c>
      <c r="B1001">
        <f>HYPERLINK("https://www.suredividend.com/sure-analysis-research-database/","Pulmonx Corp")</f>
        <v>0</v>
      </c>
      <c r="C1001">
        <v>0.372448979591836</v>
      </c>
      <c r="D1001">
        <v>-0.4796905222437131</v>
      </c>
      <c r="E1001">
        <v>-0.533526011560693</v>
      </c>
      <c r="F1001">
        <v>-0.04270462633451901</v>
      </c>
      <c r="G1001">
        <v>-0.733223140495867</v>
      </c>
      <c r="H1001">
        <v>-0.8697546804389921</v>
      </c>
      <c r="I1001">
        <v>-0.794708725515136</v>
      </c>
    </row>
    <row r="1002" spans="1:9">
      <c r="A1002" s="1" t="s">
        <v>1014</v>
      </c>
      <c r="B1002">
        <f>HYPERLINK("https://www.suredividend.com/sure-analysis-research-database/","Lulus Fashion Lounge Holdings Inc")</f>
        <v>0</v>
      </c>
      <c r="C1002">
        <v>-0.299065420560747</v>
      </c>
      <c r="D1002">
        <v>-0.560546875</v>
      </c>
      <c r="E1002">
        <v>-0.814049586776859</v>
      </c>
      <c r="F1002">
        <v>-0.103585657370517</v>
      </c>
      <c r="G1002">
        <v>-0.775</v>
      </c>
      <c r="H1002">
        <v>-0.82771822358346</v>
      </c>
      <c r="I1002">
        <v>-0.82771822358346</v>
      </c>
    </row>
    <row r="1003" spans="1:9">
      <c r="A1003" s="1" t="s">
        <v>1015</v>
      </c>
      <c r="B1003">
        <f>HYPERLINK("https://www.suredividend.com/sure-analysis-research-database/","LiveOne Inc")</f>
        <v>0</v>
      </c>
      <c r="C1003">
        <v>0.188682404152017</v>
      </c>
      <c r="D1003">
        <v>-0.06578947368421001</v>
      </c>
      <c r="E1003">
        <v>-0.371681415929203</v>
      </c>
      <c r="F1003">
        <v>0.103341103341103</v>
      </c>
      <c r="G1003">
        <v>-0.297029702970297</v>
      </c>
      <c r="H1003">
        <v>-0.8174807197943441</v>
      </c>
      <c r="I1003">
        <v>-0.9211111111111111</v>
      </c>
    </row>
    <row r="1004" spans="1:9">
      <c r="A1004" s="1" t="s">
        <v>1016</v>
      </c>
      <c r="B1004">
        <f>HYPERLINK("https://www.suredividend.com/sure-analysis-research-database/","Luxfer Holdings PLC")</f>
        <v>0</v>
      </c>
      <c r="C1004">
        <v>0.06088825214899701</v>
      </c>
      <c r="D1004">
        <v>0.022034822334324</v>
      </c>
      <c r="E1004">
        <v>-0.039303576177842</v>
      </c>
      <c r="F1004">
        <v>0.079446064139941</v>
      </c>
      <c r="G1004">
        <v>-0.196340391356724</v>
      </c>
      <c r="H1004">
        <v>-0.089953852487725</v>
      </c>
      <c r="I1004">
        <v>0.110952748876669</v>
      </c>
    </row>
    <row r="1005" spans="1:9">
      <c r="A1005" s="1" t="s">
        <v>1017</v>
      </c>
      <c r="B1005">
        <f>HYPERLINK("https://www.suredividend.com/sure-analysis-LXP/","LXP Industrial Trust")</f>
        <v>0</v>
      </c>
      <c r="C1005">
        <v>0.016336022508684</v>
      </c>
      <c r="D1005">
        <v>0.198753837818313</v>
      </c>
      <c r="E1005">
        <v>0.033546465796619</v>
      </c>
      <c r="F1005">
        <v>0.05988023952095801</v>
      </c>
      <c r="G1005">
        <v>-0.229820871709333</v>
      </c>
      <c r="H1005">
        <v>0.12618105852536</v>
      </c>
      <c r="I1005">
        <v>0.4588713665586021</v>
      </c>
    </row>
    <row r="1006" spans="1:9">
      <c r="A1006" s="1" t="s">
        <v>1018</v>
      </c>
      <c r="B1006">
        <f>HYPERLINK("https://www.suredividend.com/sure-analysis-research-database/","Lexicon Pharmaceuticals Inc")</f>
        <v>0</v>
      </c>
      <c r="C1006">
        <v>0.03431372549019501</v>
      </c>
      <c r="D1006">
        <v>-0.07860262008733601</v>
      </c>
      <c r="E1006">
        <v>-0.264808362369338</v>
      </c>
      <c r="F1006">
        <v>0.104712041884816</v>
      </c>
      <c r="G1006">
        <v>-0.402266288951841</v>
      </c>
      <c r="H1006">
        <v>-0.450520833333333</v>
      </c>
      <c r="I1006">
        <v>-0.78469387755102</v>
      </c>
    </row>
    <row r="1007" spans="1:9">
      <c r="A1007" s="1" t="s">
        <v>1019</v>
      </c>
      <c r="B1007">
        <f>HYPERLINK("https://www.suredividend.com/sure-analysis-research-database/","Lyell Immunopharma Inc")</f>
        <v>0</v>
      </c>
      <c r="C1007">
        <v>-0.08701854493580501</v>
      </c>
      <c r="D1007">
        <v>-0.5473833097595471</v>
      </c>
      <c r="E1007">
        <v>-0.5238095238095231</v>
      </c>
      <c r="F1007">
        <v>-0.077809798270893</v>
      </c>
      <c r="G1007">
        <v>-0.498432601880877</v>
      </c>
      <c r="H1007">
        <v>-0.8105387803433981</v>
      </c>
      <c r="I1007">
        <v>-0.8105387803433981</v>
      </c>
    </row>
    <row r="1008" spans="1:9">
      <c r="A1008" s="1" t="s">
        <v>1020</v>
      </c>
      <c r="B1008">
        <f>HYPERLINK("https://www.suredividend.com/sure-analysis-research-database/","La-Z-Boy Inc.")</f>
        <v>0</v>
      </c>
      <c r="C1008">
        <v>0.04100418410041801</v>
      </c>
      <c r="D1008">
        <v>0.130631572250447</v>
      </c>
      <c r="E1008">
        <v>-0.014696389464221</v>
      </c>
      <c r="F1008">
        <v>0.09027169149868501</v>
      </c>
      <c r="G1008">
        <v>-0.297177126618286</v>
      </c>
      <c r="H1008">
        <v>-0.40404330746383</v>
      </c>
      <c r="I1008">
        <v>-0.147320296381594</v>
      </c>
    </row>
    <row r="1009" spans="1:9">
      <c r="A1009" s="1" t="s">
        <v>1021</v>
      </c>
      <c r="B1009">
        <f>HYPERLINK("https://www.suredividend.com/sure-analysis-M/","Macy`s Inc")</f>
        <v>0</v>
      </c>
      <c r="C1009">
        <v>-0.06747245323668701</v>
      </c>
      <c r="D1009">
        <v>0.180092651425006</v>
      </c>
      <c r="E1009">
        <v>0.159142359475974</v>
      </c>
      <c r="F1009">
        <v>-0.010653753026634</v>
      </c>
      <c r="G1009">
        <v>-0.200776142991827</v>
      </c>
      <c r="H1009">
        <v>0.7383387505743411</v>
      </c>
      <c r="I1009">
        <v>0.019440729725953</v>
      </c>
    </row>
    <row r="1010" spans="1:9">
      <c r="A1010" s="1" t="s">
        <v>1022</v>
      </c>
      <c r="B1010">
        <f>HYPERLINK("https://www.suredividend.com/sure-analysis-MAC/","Macerich Co.")</f>
        <v>0</v>
      </c>
      <c r="C1010">
        <v>-0.06661316211878</v>
      </c>
      <c r="D1010">
        <v>0.399148239936478</v>
      </c>
      <c r="E1010">
        <v>0.312270803949224</v>
      </c>
      <c r="F1010">
        <v>0.032859680284191</v>
      </c>
      <c r="G1010">
        <v>-0.327811717923672</v>
      </c>
      <c r="H1010">
        <v>0.089767616191904</v>
      </c>
      <c r="I1010">
        <v>-0.7559414511305801</v>
      </c>
    </row>
    <row r="1011" spans="1:9">
      <c r="A1011" s="1" t="s">
        <v>1023</v>
      </c>
      <c r="B1011">
        <f>HYPERLINK("https://www.suredividend.com/sure-analysis-research-database/","Mantech International Corp")</f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>
      <c r="A1012" s="1" t="s">
        <v>1024</v>
      </c>
      <c r="B1012">
        <f>HYPERLINK("https://www.suredividend.com/sure-analysis-research-database/","Marathon Digital Holdings Inc")</f>
        <v>0</v>
      </c>
      <c r="C1012">
        <v>-0.019999999999999</v>
      </c>
      <c r="D1012">
        <v>-0.5628902765388041</v>
      </c>
      <c r="E1012">
        <v>-0.424206815511163</v>
      </c>
      <c r="F1012">
        <v>0.432748538011696</v>
      </c>
      <c r="G1012">
        <v>-0.828009828009828</v>
      </c>
      <c r="H1012">
        <v>-0.8143236074270551</v>
      </c>
      <c r="I1012">
        <v>-0.679319371727748</v>
      </c>
    </row>
    <row r="1013" spans="1:9">
      <c r="A1013" s="1" t="s">
        <v>1025</v>
      </c>
      <c r="B1013">
        <f>HYPERLINK("https://www.suredividend.com/sure-analysis-research-database/","908 Devices Inc")</f>
        <v>0</v>
      </c>
      <c r="C1013">
        <v>-0.118072289156626</v>
      </c>
      <c r="D1013">
        <v>-0.5218811234487261</v>
      </c>
      <c r="E1013">
        <v>-0.648414985590778</v>
      </c>
      <c r="F1013">
        <v>-0.039370078740157</v>
      </c>
      <c r="G1013">
        <v>-0.634182908545727</v>
      </c>
      <c r="H1013">
        <v>-0.861651861651861</v>
      </c>
      <c r="I1013">
        <v>-0.8506122448979591</v>
      </c>
    </row>
    <row r="1014" spans="1:9">
      <c r="A1014" s="1" t="s">
        <v>1026</v>
      </c>
      <c r="B1014">
        <f>HYPERLINK("https://www.suredividend.com/sure-analysis-MATW/","Matthews International Corp.")</f>
        <v>0</v>
      </c>
      <c r="C1014">
        <v>0.197866149369543</v>
      </c>
      <c r="D1014">
        <v>0.6666666666666661</v>
      </c>
      <c r="E1014">
        <v>0.344115278291722</v>
      </c>
      <c r="F1014">
        <v>0.217148488830486</v>
      </c>
      <c r="G1014">
        <v>0.04586270264472</v>
      </c>
      <c r="H1014">
        <v>0.255383239193708</v>
      </c>
      <c r="I1014">
        <v>-0.22682671318923</v>
      </c>
    </row>
    <row r="1015" spans="1:9">
      <c r="A1015" s="1" t="s">
        <v>1027</v>
      </c>
      <c r="B1015">
        <f>HYPERLINK("https://www.suredividend.com/sure-analysis-research-database/","Matson Inc")</f>
        <v>0</v>
      </c>
      <c r="C1015">
        <v>0.051575456053067</v>
      </c>
      <c r="D1015">
        <v>-0.023221781491893</v>
      </c>
      <c r="E1015">
        <v>-0.122514471384506</v>
      </c>
      <c r="F1015">
        <v>0.014397696368581</v>
      </c>
      <c r="G1015">
        <v>-0.267210047577609</v>
      </c>
      <c r="H1015">
        <v>0.061166429587482</v>
      </c>
      <c r="I1015">
        <v>1.273615518385054</v>
      </c>
    </row>
    <row r="1016" spans="1:9">
      <c r="A1016" s="1" t="s">
        <v>1028</v>
      </c>
      <c r="B1016">
        <f>HYPERLINK("https://www.suredividend.com/sure-analysis-research-database/","MediaAlpha Inc")</f>
        <v>0</v>
      </c>
      <c r="C1016">
        <v>0.039805825242718</v>
      </c>
      <c r="D1016">
        <v>0.210169491525424</v>
      </c>
      <c r="E1016">
        <v>-0.038599640933572</v>
      </c>
      <c r="F1016">
        <v>0.07638190954773801</v>
      </c>
      <c r="G1016">
        <v>-0.275862068965517</v>
      </c>
      <c r="H1016">
        <v>-0.7307692307692301</v>
      </c>
      <c r="I1016">
        <v>-0.663841807909604</v>
      </c>
    </row>
    <row r="1017" spans="1:9">
      <c r="A1017" s="1" t="s">
        <v>1029</v>
      </c>
      <c r="B1017">
        <f>HYPERLINK("https://www.suredividend.com/sure-analysis-research-database/","Maxar Technologies Inc")</f>
        <v>0</v>
      </c>
      <c r="C1017">
        <v>1.131307977348579</v>
      </c>
      <c r="D1017">
        <v>1.47599797877716</v>
      </c>
      <c r="E1017">
        <v>0.9437250407167671</v>
      </c>
      <c r="F1017">
        <v>-0.015075376884422</v>
      </c>
      <c r="G1017">
        <v>0.7184633646271711</v>
      </c>
      <c r="H1017">
        <v>0.312908029452834</v>
      </c>
      <c r="I1017">
        <v>3.120543691832494</v>
      </c>
    </row>
    <row r="1018" spans="1:9">
      <c r="A1018" s="1" t="s">
        <v>1030</v>
      </c>
      <c r="B1018">
        <f>HYPERLINK("https://www.suredividend.com/sure-analysis-research-database/","MBIA Inc.")</f>
        <v>0</v>
      </c>
      <c r="C1018">
        <v>0</v>
      </c>
      <c r="D1018">
        <v>0.313291139240506</v>
      </c>
      <c r="E1018">
        <v>-0.000802568218298</v>
      </c>
      <c r="F1018">
        <v>-0.03112840466926</v>
      </c>
      <c r="G1018">
        <v>-0.187336814621409</v>
      </c>
      <c r="H1018">
        <v>0.6892808683853461</v>
      </c>
      <c r="I1018">
        <v>0.7101648351648351</v>
      </c>
    </row>
    <row r="1019" spans="1:9">
      <c r="A1019" s="1" t="s">
        <v>1031</v>
      </c>
      <c r="B1019">
        <f>HYPERLINK("https://www.suredividend.com/sure-analysis-research-database/","Pro Farm Group Inc")</f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>
      <c r="A1020" s="1" t="s">
        <v>1032</v>
      </c>
      <c r="B1020">
        <f>HYPERLINK("https://www.suredividend.com/sure-analysis-research-database/","Merchants Bancorp")</f>
        <v>0</v>
      </c>
      <c r="C1020">
        <v>-0.013136659996126</v>
      </c>
      <c r="D1020">
        <v>0.04912351434931601</v>
      </c>
      <c r="E1020">
        <v>0.083067658519305</v>
      </c>
      <c r="F1020">
        <v>0.005756578947368</v>
      </c>
      <c r="G1020">
        <v>-0.497260212030402</v>
      </c>
      <c r="H1020">
        <v>-0.190944933978989</v>
      </c>
      <c r="I1020">
        <v>0.31715696569253</v>
      </c>
    </row>
    <row r="1021" spans="1:9">
      <c r="A1021" s="1" t="s">
        <v>1033</v>
      </c>
      <c r="B1021">
        <f>HYPERLINK("https://www.suredividend.com/sure-analysis-research-database/","Mustang Bio Inc")</f>
        <v>0</v>
      </c>
      <c r="C1021">
        <v>0.344827586206896</v>
      </c>
      <c r="D1021">
        <v>0.161632993126431</v>
      </c>
      <c r="E1021">
        <v>-0.124489795918367</v>
      </c>
      <c r="F1021">
        <v>0.41225626740947</v>
      </c>
      <c r="G1021">
        <v>-0.6557407407407401</v>
      </c>
      <c r="H1021">
        <v>-0.8659374999999999</v>
      </c>
      <c r="I1021">
        <v>-0.9523740392826641</v>
      </c>
    </row>
    <row r="1022" spans="1:9">
      <c r="A1022" s="1" t="s">
        <v>1034</v>
      </c>
      <c r="B1022">
        <f>HYPERLINK("https://www.suredividend.com/sure-analysis-research-database/","Malibu Boats Inc")</f>
        <v>0</v>
      </c>
      <c r="C1022">
        <v>0.034470312218011</v>
      </c>
      <c r="D1022">
        <v>0.220613287904599</v>
      </c>
      <c r="E1022">
        <v>0.016672578928698</v>
      </c>
      <c r="F1022">
        <v>0.07542213883677301</v>
      </c>
      <c r="G1022">
        <v>-0.145752608047689</v>
      </c>
      <c r="H1022">
        <v>-0.094327697898562</v>
      </c>
      <c r="I1022">
        <v>1.018309859154929</v>
      </c>
    </row>
    <row r="1023" spans="1:9">
      <c r="A1023" s="1" t="s">
        <v>1035</v>
      </c>
      <c r="B1023">
        <f>HYPERLINK("https://www.suredividend.com/sure-analysis-research-database/","Mercantile Bank Corp.")</f>
        <v>0</v>
      </c>
      <c r="C1023">
        <v>0.029905401281659</v>
      </c>
      <c r="D1023">
        <v>0.120499327700403</v>
      </c>
      <c r="E1023">
        <v>0.075542950015137</v>
      </c>
      <c r="F1023">
        <v>0.008064516129032001</v>
      </c>
      <c r="G1023">
        <v>-0.06603867568435101</v>
      </c>
      <c r="H1023">
        <v>0.280708544887411</v>
      </c>
      <c r="I1023">
        <v>0.159518876967317</v>
      </c>
    </row>
    <row r="1024" spans="1:9">
      <c r="A1024" s="1" t="s">
        <v>1036</v>
      </c>
      <c r="B1024">
        <f>HYPERLINK("https://www.suredividend.com/sure-analysis-research-database/","Moelis &amp; Co")</f>
        <v>0</v>
      </c>
      <c r="C1024">
        <v>0.028324531925108</v>
      </c>
      <c r="D1024">
        <v>0.232869616267893</v>
      </c>
      <c r="E1024">
        <v>0.111733931240657</v>
      </c>
      <c r="F1024">
        <v>0.116497263487099</v>
      </c>
      <c r="G1024">
        <v>-0.265221694140811</v>
      </c>
      <c r="H1024">
        <v>-0.021861978423425</v>
      </c>
      <c r="I1024">
        <v>0.255377257862225</v>
      </c>
    </row>
    <row r="1025" spans="1:9">
      <c r="A1025" s="1" t="s">
        <v>1037</v>
      </c>
      <c r="B1025">
        <f>HYPERLINK("https://www.suredividend.com/sure-analysis-research-database/","Metropolitan Bank Holding Corp")</f>
        <v>0</v>
      </c>
      <c r="C1025">
        <v>0.028352757001217</v>
      </c>
      <c r="D1025">
        <v>-0.06780195521917301</v>
      </c>
      <c r="E1025">
        <v>-0.0913003381494</v>
      </c>
      <c r="F1025">
        <v>0.007670018748934001</v>
      </c>
      <c r="G1025">
        <v>-0.464783632084012</v>
      </c>
      <c r="H1025">
        <v>0.604777415852334</v>
      </c>
      <c r="I1025">
        <v>0.294504050799211</v>
      </c>
    </row>
    <row r="1026" spans="1:9">
      <c r="A1026" s="1" t="s">
        <v>1038</v>
      </c>
      <c r="B1026">
        <f>HYPERLINK("https://www.suredividend.com/sure-analysis-research-database/","Macatawa Bank Corp.")</f>
        <v>0</v>
      </c>
      <c r="C1026">
        <v>0.001846722068328</v>
      </c>
      <c r="D1026">
        <v>0.164938048916661</v>
      </c>
      <c r="E1026">
        <v>0.259416605727153</v>
      </c>
      <c r="F1026">
        <v>-0.016319129646418</v>
      </c>
      <c r="G1026">
        <v>0.203229312218599</v>
      </c>
      <c r="H1026">
        <v>0.309500820700975</v>
      </c>
      <c r="I1026">
        <v>0.285225240165361</v>
      </c>
    </row>
    <row r="1027" spans="1:9">
      <c r="A1027" s="1" t="s">
        <v>1039</v>
      </c>
      <c r="B1027">
        <f>HYPERLINK("https://www.suredividend.com/sure-analysis-research-database/","MetroCity Bankshares Inc")</f>
        <v>0</v>
      </c>
      <c r="C1027">
        <v>-0.04564125969876701</v>
      </c>
      <c r="D1027">
        <v>0.082359761684153</v>
      </c>
      <c r="E1027">
        <v>0.023439756058166</v>
      </c>
      <c r="F1027">
        <v>-0.033287101248266</v>
      </c>
      <c r="G1027">
        <v>-0.265418827199527</v>
      </c>
      <c r="H1027">
        <v>0.4808467242197401</v>
      </c>
      <c r="I1027">
        <v>0.6939266532189461</v>
      </c>
    </row>
    <row r="1028" spans="1:9">
      <c r="A1028" s="1" t="s">
        <v>1040</v>
      </c>
      <c r="B1028">
        <f>HYPERLINK("https://www.suredividend.com/sure-analysis-research-database/","MasterCraft Boat Holdings Inc")</f>
        <v>0</v>
      </c>
      <c r="C1028">
        <v>0.074472168905949</v>
      </c>
      <c r="D1028">
        <v>0.426605504587155</v>
      </c>
      <c r="E1028">
        <v>0.29164743885556</v>
      </c>
      <c r="F1028">
        <v>0.081948202551217</v>
      </c>
      <c r="G1028">
        <v>0.021532846715328</v>
      </c>
      <c r="H1028">
        <v>0.09592795614721901</v>
      </c>
      <c r="I1028">
        <v>0.323404255319148</v>
      </c>
    </row>
    <row r="1029" spans="1:9">
      <c r="A1029" s="1" t="s">
        <v>1041</v>
      </c>
      <c r="B1029">
        <f>HYPERLINK("https://www.suredividend.com/sure-analysis-research-database/","Seres Therapeutics Inc")</f>
        <v>0</v>
      </c>
      <c r="C1029">
        <v>-0.204892966360856</v>
      </c>
      <c r="D1029">
        <v>-0.249639249639249</v>
      </c>
      <c r="E1029">
        <v>0.28395061728395</v>
      </c>
      <c r="F1029">
        <v>-0.07142857142857101</v>
      </c>
      <c r="G1029">
        <v>-0.3918128654970761</v>
      </c>
      <c r="H1029">
        <v>-0.8115942028985501</v>
      </c>
      <c r="I1029">
        <v>-0.4810379241516961</v>
      </c>
    </row>
    <row r="1030" spans="1:9">
      <c r="A1030" s="1" t="s">
        <v>1042</v>
      </c>
      <c r="B1030">
        <f>HYPERLINK("https://www.suredividend.com/sure-analysis-research-database/","Monarch Casino &amp; Resort, Inc.")</f>
        <v>0</v>
      </c>
      <c r="C1030">
        <v>-0.037575458913391</v>
      </c>
      <c r="D1030">
        <v>0.312941176470588</v>
      </c>
      <c r="E1030">
        <v>0.369565217391304</v>
      </c>
      <c r="F1030">
        <v>0.015996878657822</v>
      </c>
      <c r="G1030">
        <v>0.09121385668389401</v>
      </c>
      <c r="H1030">
        <v>0.277305428384565</v>
      </c>
      <c r="I1030">
        <v>0.7511768661735031</v>
      </c>
    </row>
    <row r="1031" spans="1:9">
      <c r="A1031" s="1" t="s">
        <v>1043</v>
      </c>
      <c r="B1031">
        <f>HYPERLINK("https://www.suredividend.com/sure-analysis-research-database/","Marcus Corp.")</f>
        <v>0</v>
      </c>
      <c r="C1031">
        <v>-0.076972010178117</v>
      </c>
      <c r="D1031">
        <v>0.027256637168141</v>
      </c>
      <c r="E1031">
        <v>-0.006817435111159001</v>
      </c>
      <c r="F1031">
        <v>0.008339124391938001</v>
      </c>
      <c r="G1031">
        <v>-0.167627537703432</v>
      </c>
      <c r="H1031">
        <v>0.028151948245197</v>
      </c>
      <c r="I1031">
        <v>-0.42750952835623</v>
      </c>
    </row>
    <row r="1032" spans="1:9">
      <c r="A1032" s="1" t="s">
        <v>1044</v>
      </c>
      <c r="B1032">
        <f>HYPERLINK("https://www.suredividend.com/sure-analysis-research-database/","Pediatrix Medical Group Inc")</f>
        <v>0</v>
      </c>
      <c r="C1032">
        <v>-0.041613316261203</v>
      </c>
      <c r="D1032">
        <v>-0.08941605839416</v>
      </c>
      <c r="E1032">
        <v>-0.355851979345955</v>
      </c>
      <c r="F1032">
        <v>0.007402422611036001</v>
      </c>
      <c r="G1032">
        <v>-0.436158192090395</v>
      </c>
      <c r="H1032">
        <v>-0.356682423721529</v>
      </c>
      <c r="I1032">
        <v>-0.719294955934745</v>
      </c>
    </row>
    <row r="1033" spans="1:9">
      <c r="A1033" s="1" t="s">
        <v>1045</v>
      </c>
      <c r="B1033">
        <f>HYPERLINK("https://www.suredividend.com/sure-analysis-MDC/","M.D.C. Holdings, Inc.")</f>
        <v>0</v>
      </c>
      <c r="C1033">
        <v>0.06230333543108801</v>
      </c>
      <c r="D1033">
        <v>0.18031227930328</v>
      </c>
      <c r="E1033">
        <v>-0.003794786447359</v>
      </c>
      <c r="F1033">
        <v>0.06835443037974601</v>
      </c>
      <c r="G1033">
        <v>-0.302496632314901</v>
      </c>
      <c r="H1033">
        <v>-0.138869970896049</v>
      </c>
      <c r="I1033">
        <v>0.387079941985874</v>
      </c>
    </row>
    <row r="1034" spans="1:9">
      <c r="A1034" s="1" t="s">
        <v>1046</v>
      </c>
      <c r="B1034">
        <f>HYPERLINK("https://www.suredividend.com/sure-analysis-research-database/","Madrigal Pharmaceuticals Inc")</f>
        <v>0</v>
      </c>
      <c r="C1034">
        <v>3.271409355851143</v>
      </c>
      <c r="D1034">
        <v>2.809143009462881</v>
      </c>
      <c r="E1034">
        <v>2.925824175824176</v>
      </c>
      <c r="F1034">
        <v>-0.015331610680447</v>
      </c>
      <c r="G1034">
        <v>2.69967637540453</v>
      </c>
      <c r="H1034">
        <v>1.472532225971105</v>
      </c>
      <c r="I1034">
        <v>1.921692905336332</v>
      </c>
    </row>
    <row r="1035" spans="1:9">
      <c r="A1035" s="1" t="s">
        <v>1047</v>
      </c>
      <c r="B1035">
        <f>HYPERLINK("https://www.suredividend.com/sure-analysis-research-database/","Veradigm Inc")</f>
        <v>0</v>
      </c>
      <c r="C1035">
        <v>-0.034519956850053</v>
      </c>
      <c r="D1035">
        <v>0.243055555555555</v>
      </c>
      <c r="E1035">
        <v>0.22017723244717</v>
      </c>
      <c r="F1035">
        <v>0.014739229024943</v>
      </c>
      <c r="G1035">
        <v>0.014164305949008</v>
      </c>
      <c r="H1035">
        <v>0.173770491803278</v>
      </c>
      <c r="I1035">
        <v>0.147435897435897</v>
      </c>
    </row>
    <row r="1036" spans="1:9">
      <c r="A1036" s="1" t="s">
        <v>1048</v>
      </c>
      <c r="B1036">
        <f>HYPERLINK("https://www.suredividend.com/sure-analysis-research-database/","MedAvail Holdings Inc")</f>
        <v>0</v>
      </c>
      <c r="C1036">
        <v>0.279201510655516</v>
      </c>
      <c r="D1036">
        <v>-0.467908438061041</v>
      </c>
      <c r="E1036">
        <v>-0.6774149659863941</v>
      </c>
      <c r="F1036">
        <v>0.5817211474316211</v>
      </c>
      <c r="G1036">
        <v>-0.62953125</v>
      </c>
      <c r="H1036">
        <v>-0.9639117199391171</v>
      </c>
      <c r="I1036">
        <v>-0.6729880697882901</v>
      </c>
    </row>
    <row r="1037" spans="1:9">
      <c r="A1037" s="1" t="s">
        <v>1049</v>
      </c>
      <c r="B1037">
        <f>HYPERLINK("https://www.suredividend.com/sure-analysis-research-database/","Mimedx Group Inc")</f>
        <v>0</v>
      </c>
      <c r="C1037">
        <v>0.051282051282051</v>
      </c>
      <c r="D1037">
        <v>0.127147766323023</v>
      </c>
      <c r="E1037">
        <v>-0.052023121387283</v>
      </c>
      <c r="F1037">
        <v>0.179856115107913</v>
      </c>
      <c r="G1037">
        <v>-0.41740674955595</v>
      </c>
      <c r="H1037">
        <v>-0.656903765690376</v>
      </c>
      <c r="I1037">
        <v>-0.783498349834983</v>
      </c>
    </row>
    <row r="1038" spans="1:9">
      <c r="A1038" s="1" t="s">
        <v>1050</v>
      </c>
      <c r="B1038">
        <f>HYPERLINK("https://www.suredividend.com/sure-analysis-research-database/","Mayville Engineering Company Inc")</f>
        <v>0</v>
      </c>
      <c r="C1038">
        <v>0.02629543696829</v>
      </c>
      <c r="D1038">
        <v>0.97470238095238</v>
      </c>
      <c r="E1038">
        <v>0.741469816272965</v>
      </c>
      <c r="F1038">
        <v>0.048183254344391</v>
      </c>
      <c r="G1038">
        <v>-0.097892590074779</v>
      </c>
      <c r="H1038">
        <v>0.05737051792828601</v>
      </c>
      <c r="I1038">
        <v>-0.194292653309046</v>
      </c>
    </row>
    <row r="1039" spans="1:9">
      <c r="A1039" s="1" t="s">
        <v>1051</v>
      </c>
      <c r="B1039">
        <f>HYPERLINK("https://www.suredividend.com/sure-analysis-MED/","Medifast Inc")</f>
        <v>0</v>
      </c>
      <c r="C1039">
        <v>0.015138156347563</v>
      </c>
      <c r="D1039">
        <v>0.08349453596259901</v>
      </c>
      <c r="E1039">
        <v>-0.287370188319544</v>
      </c>
      <c r="F1039">
        <v>0.05903771131339301</v>
      </c>
      <c r="G1039">
        <v>-0.403888194878201</v>
      </c>
      <c r="H1039">
        <v>-0.37024857550702</v>
      </c>
      <c r="I1039">
        <v>1.004298675942181</v>
      </c>
    </row>
    <row r="1040" spans="1:9">
      <c r="A1040" s="1" t="s">
        <v>1052</v>
      </c>
      <c r="B1040">
        <f>HYPERLINK("https://www.suredividend.com/sure-analysis-research-database/","Medpace Holdings Inc")</f>
        <v>0</v>
      </c>
      <c r="C1040">
        <v>0.024541964329105</v>
      </c>
      <c r="D1040">
        <v>0.314912991954094</v>
      </c>
      <c r="E1040">
        <v>0.345201633486472</v>
      </c>
      <c r="F1040">
        <v>-0.007485523280448001</v>
      </c>
      <c r="G1040">
        <v>0.121323333865219</v>
      </c>
      <c r="H1040">
        <v>0.487161399548532</v>
      </c>
      <c r="I1040">
        <v>4.614380825565912</v>
      </c>
    </row>
    <row r="1041" spans="1:9">
      <c r="A1041" s="1" t="s">
        <v>1053</v>
      </c>
      <c r="B1041">
        <f>HYPERLINK("https://www.suredividend.com/sure-analysis-research-database/","Montrose Environmental Group Inc")</f>
        <v>0</v>
      </c>
      <c r="C1041">
        <v>0.120221096269</v>
      </c>
      <c r="D1041">
        <v>0.340683572216097</v>
      </c>
      <c r="E1041">
        <v>0.358279810108908</v>
      </c>
      <c r="F1041">
        <v>0.09574228429826501</v>
      </c>
      <c r="G1041">
        <v>-0.178933153274814</v>
      </c>
      <c r="H1041">
        <v>0.240183579806221</v>
      </c>
      <c r="I1041">
        <v>1.210909090909091</v>
      </c>
    </row>
    <row r="1042" spans="1:9">
      <c r="A1042" s="1" t="s">
        <v>1054</v>
      </c>
      <c r="B1042">
        <f>HYPERLINK("https://www.suredividend.com/sure-analysis-research-database/","Methode Electronics, Inc.")</f>
        <v>0</v>
      </c>
      <c r="C1042">
        <v>-0.002561366061899</v>
      </c>
      <c r="D1042">
        <v>0.302422288060246</v>
      </c>
      <c r="E1042">
        <v>0.310953885170202</v>
      </c>
      <c r="F1042">
        <v>0.05318909172864501</v>
      </c>
      <c r="G1042">
        <v>0.003017853846583</v>
      </c>
      <c r="H1042">
        <v>0.16293249118406</v>
      </c>
      <c r="I1042">
        <v>0.21149742948919</v>
      </c>
    </row>
    <row r="1043" spans="1:9">
      <c r="A1043" s="1" t="s">
        <v>1055</v>
      </c>
      <c r="B1043">
        <f>HYPERLINK("https://www.suredividend.com/sure-analysis-research-database/","MEI Pharma Inc")</f>
        <v>0</v>
      </c>
      <c r="C1043">
        <v>0.288936170212766</v>
      </c>
      <c r="D1043">
        <v>-0.223532427582671</v>
      </c>
      <c r="E1043">
        <v>-0.5244897959183671</v>
      </c>
      <c r="F1043">
        <v>0.243431855500821</v>
      </c>
      <c r="G1043">
        <v>-0.8835000000000001</v>
      </c>
      <c r="H1043">
        <v>-0.900361842105263</v>
      </c>
      <c r="I1043">
        <v>-0.860735632183908</v>
      </c>
    </row>
    <row r="1044" spans="1:9">
      <c r="A1044" s="1" t="s">
        <v>1056</v>
      </c>
      <c r="B1044">
        <f>HYPERLINK("https://www.suredividend.com/sure-analysis-research-database/","Mesa Air Group Inc.")</f>
        <v>0</v>
      </c>
      <c r="C1044">
        <v>0.595890410958904</v>
      </c>
      <c r="D1044">
        <v>0.4840764331210191</v>
      </c>
      <c r="E1044">
        <v>0.09389671361502301</v>
      </c>
      <c r="F1044">
        <v>0.5228758169934641</v>
      </c>
      <c r="G1044">
        <v>-0.589788732394366</v>
      </c>
      <c r="H1044">
        <v>-0.644274809160305</v>
      </c>
      <c r="I1044">
        <v>-0.801702127659574</v>
      </c>
    </row>
    <row r="1045" spans="1:9">
      <c r="A1045" s="1" t="s">
        <v>1057</v>
      </c>
      <c r="B1045">
        <f>HYPERLINK("https://www.suredividend.com/sure-analysis-research-database/","MFA Financial Inc")</f>
        <v>0</v>
      </c>
      <c r="C1045">
        <v>-0.060124522038933</v>
      </c>
      <c r="D1045">
        <v>0.42367043071239</v>
      </c>
      <c r="E1045">
        <v>-0.008531465825772001</v>
      </c>
      <c r="F1045">
        <v>0.04060913705583701</v>
      </c>
      <c r="G1045">
        <v>-0.355013277287657</v>
      </c>
      <c r="H1045">
        <v>-0.1457051891117</v>
      </c>
      <c r="I1045">
        <v>-0.389699315272402</v>
      </c>
    </row>
    <row r="1046" spans="1:9">
      <c r="A1046" s="1" t="s">
        <v>1058</v>
      </c>
      <c r="B1046">
        <f>HYPERLINK("https://www.suredividend.com/sure-analysis-research-database/","Mistras Group Inc")</f>
        <v>0</v>
      </c>
      <c r="C1046">
        <v>0.176470588235294</v>
      </c>
      <c r="D1046">
        <v>0.04384133611691</v>
      </c>
      <c r="E1046">
        <v>-0.158249158249158</v>
      </c>
      <c r="F1046">
        <v>0.01419878296146</v>
      </c>
      <c r="G1046">
        <v>-0.342105263157894</v>
      </c>
      <c r="H1046">
        <v>-0.378881987577639</v>
      </c>
      <c r="I1046">
        <v>-0.779832672831351</v>
      </c>
    </row>
    <row r="1047" spans="1:9">
      <c r="A1047" s="1" t="s">
        <v>1059</v>
      </c>
      <c r="B1047">
        <f>HYPERLINK("https://www.suredividend.com/sure-analysis-MGEE/","MGE Energy, Inc.")</f>
        <v>0</v>
      </c>
      <c r="C1047">
        <v>0.011769710720362</v>
      </c>
      <c r="D1047">
        <v>0.143149195790134</v>
      </c>
      <c r="E1047">
        <v>-0.05964747653402001</v>
      </c>
      <c r="F1047">
        <v>0.013494318181818</v>
      </c>
      <c r="G1047">
        <v>-0.09681600743307101</v>
      </c>
      <c r="H1047">
        <v>0.085136444311284</v>
      </c>
      <c r="I1047">
        <v>0.321159287185032</v>
      </c>
    </row>
    <row r="1048" spans="1:9">
      <c r="A1048" s="1" t="s">
        <v>1060</v>
      </c>
      <c r="B1048">
        <f>HYPERLINK("https://www.suredividend.com/sure-analysis-research-database/","Moneygram International Inc.")</f>
        <v>0</v>
      </c>
      <c r="C1048">
        <v>-0.002744739249771</v>
      </c>
      <c r="D1048">
        <v>0.038095238095238</v>
      </c>
      <c r="E1048">
        <v>0.07707509881422901</v>
      </c>
      <c r="F1048">
        <v>0.0009182736455460001</v>
      </c>
      <c r="G1048">
        <v>0.4437086092715231</v>
      </c>
      <c r="H1048">
        <v>0.5866084425036391</v>
      </c>
      <c r="I1048">
        <v>-0.09543568464730201</v>
      </c>
    </row>
    <row r="1049" spans="1:9">
      <c r="A1049" s="1" t="s">
        <v>1061</v>
      </c>
      <c r="B1049">
        <f>HYPERLINK("https://www.suredividend.com/sure-analysis-research-database/","Magnite Inc")</f>
        <v>0</v>
      </c>
      <c r="C1049">
        <v>-0.071171171171171</v>
      </c>
      <c r="D1049">
        <v>0.474964234620887</v>
      </c>
      <c r="E1049">
        <v>0.176940639269406</v>
      </c>
      <c r="F1049">
        <v>-0.026440037771482</v>
      </c>
      <c r="G1049">
        <v>-0.330953926022063</v>
      </c>
      <c r="H1049">
        <v>-0.5889154704944171</v>
      </c>
      <c r="I1049">
        <v>3.729357798165138</v>
      </c>
    </row>
    <row r="1050" spans="1:9">
      <c r="A1050" s="1" t="s">
        <v>1062</v>
      </c>
      <c r="B1050">
        <f>HYPERLINK("https://www.suredividend.com/sure-analysis-research-database/","Macrogenics Inc")</f>
        <v>0</v>
      </c>
      <c r="C1050">
        <v>-0.112179487179487</v>
      </c>
      <c r="D1050">
        <v>0.573863636363636</v>
      </c>
      <c r="E1050">
        <v>0.5828571428571431</v>
      </c>
      <c r="F1050">
        <v>-0.174366616989567</v>
      </c>
      <c r="G1050">
        <v>-0.6254225828262331</v>
      </c>
      <c r="H1050">
        <v>-0.730019493177387</v>
      </c>
      <c r="I1050">
        <v>-0.71777890983189</v>
      </c>
    </row>
    <row r="1051" spans="1:9">
      <c r="A1051" s="1" t="s">
        <v>1063</v>
      </c>
      <c r="B1051">
        <f>HYPERLINK("https://www.suredividend.com/sure-analysis-research-database/","MGP Ingredients, Inc.")</f>
        <v>0</v>
      </c>
      <c r="C1051">
        <v>-0.125866940662727</v>
      </c>
      <c r="D1051">
        <v>-0.04759239305355301</v>
      </c>
      <c r="E1051">
        <v>-0.001649737381758</v>
      </c>
      <c r="F1051">
        <v>-0.040327129159616</v>
      </c>
      <c r="G1051">
        <v>0.233574393272071</v>
      </c>
      <c r="H1051">
        <v>1.105495448302033</v>
      </c>
      <c r="I1051">
        <v>0.372985709328879</v>
      </c>
    </row>
    <row r="1052" spans="1:9">
      <c r="A1052" s="1" t="s">
        <v>1064</v>
      </c>
      <c r="B1052">
        <f>HYPERLINK("https://www.suredividend.com/sure-analysis-MGRC/","McGrath Rentcorp")</f>
        <v>0</v>
      </c>
      <c r="C1052">
        <v>0.033542319749216</v>
      </c>
      <c r="D1052">
        <v>0.190245546055679</v>
      </c>
      <c r="E1052">
        <v>0.309793857436268</v>
      </c>
      <c r="F1052">
        <v>0.001721693336034</v>
      </c>
      <c r="G1052">
        <v>0.277213914929883</v>
      </c>
      <c r="H1052">
        <v>0.4119974817879301</v>
      </c>
      <c r="I1052">
        <v>1.318750205126522</v>
      </c>
    </row>
    <row r="1053" spans="1:9">
      <c r="A1053" s="1" t="s">
        <v>1065</v>
      </c>
      <c r="B1053">
        <f>HYPERLINK("https://www.suredividend.com/sure-analysis-research-database/","Magenta Therapeutics Inc")</f>
        <v>0</v>
      </c>
      <c r="C1053">
        <v>-0.559181818181818</v>
      </c>
      <c r="D1053">
        <v>-0.6120800000000001</v>
      </c>
      <c r="E1053">
        <v>-0.766875</v>
      </c>
      <c r="F1053">
        <v>0.22759493670886</v>
      </c>
      <c r="G1053">
        <v>-0.8961670235546031</v>
      </c>
      <c r="H1053">
        <v>-0.942410926365795</v>
      </c>
      <c r="I1053">
        <v>-0.9666046831955921</v>
      </c>
    </row>
    <row r="1054" spans="1:9">
      <c r="A1054" s="1" t="s">
        <v>1066</v>
      </c>
      <c r="B1054">
        <f>HYPERLINK("https://www.suredividend.com/sure-analysis-research-database/","MeiraGTx Holdings plc")</f>
        <v>0</v>
      </c>
      <c r="C1054">
        <v>0.09137931034482701</v>
      </c>
      <c r="D1054">
        <v>-0.212686567164179</v>
      </c>
      <c r="E1054">
        <v>-0.265661252900231</v>
      </c>
      <c r="F1054">
        <v>-0.029141104294478</v>
      </c>
      <c r="G1054">
        <v>-0.7059916395726891</v>
      </c>
      <c r="H1054">
        <v>-0.6147291539866091</v>
      </c>
      <c r="I1054">
        <v>-0.5780000000000001</v>
      </c>
    </row>
    <row r="1055" spans="1:9">
      <c r="A1055" s="1" t="s">
        <v>1067</v>
      </c>
      <c r="B1055">
        <f>HYPERLINK("https://www.suredividend.com/sure-analysis-research-database/","Magnolia Oil &amp; Gas Corp")</f>
        <v>0</v>
      </c>
      <c r="C1055">
        <v>0.021670428893905</v>
      </c>
      <c r="D1055">
        <v>-0.012195867198617</v>
      </c>
      <c r="E1055">
        <v>0.129709410584223</v>
      </c>
      <c r="F1055">
        <v>-0.034968017057569</v>
      </c>
      <c r="G1055">
        <v>0.158350566122724</v>
      </c>
      <c r="H1055">
        <v>1.738549040963271</v>
      </c>
      <c r="I1055">
        <v>1.316274309109518</v>
      </c>
    </row>
    <row r="1056" spans="1:9">
      <c r="A1056" s="1" t="s">
        <v>1068</v>
      </c>
      <c r="B1056">
        <f>HYPERLINK("https://www.suredividend.com/sure-analysis-research-database/","Maiden Holdings Ltd")</f>
        <v>0</v>
      </c>
      <c r="C1056">
        <v>0.08133971291866</v>
      </c>
      <c r="D1056">
        <v>0.076190476190476</v>
      </c>
      <c r="E1056">
        <v>0.20855614973262</v>
      </c>
      <c r="F1056">
        <v>0.07109004739336401</v>
      </c>
      <c r="G1056">
        <v>-0.241610738255033</v>
      </c>
      <c r="H1056">
        <v>0.004444444444444</v>
      </c>
      <c r="I1056">
        <v>-0.631213080513038</v>
      </c>
    </row>
    <row r="1057" spans="1:9">
      <c r="A1057" s="1" t="s">
        <v>1069</v>
      </c>
      <c r="B1057">
        <f>HYPERLINK("https://www.suredividend.com/sure-analysis-research-database/","MI Homes Inc.")</f>
        <v>0</v>
      </c>
      <c r="C1057">
        <v>0.132717440288418</v>
      </c>
      <c r="D1057">
        <v>0.254554529573247</v>
      </c>
      <c r="E1057">
        <v>0.162580943570767</v>
      </c>
      <c r="F1057">
        <v>0.08856647899523601</v>
      </c>
      <c r="G1057">
        <v>-0.090629522431259</v>
      </c>
      <c r="H1057">
        <v>0.133739287325214</v>
      </c>
      <c r="I1057">
        <v>0.371623465211459</v>
      </c>
    </row>
    <row r="1058" spans="1:9">
      <c r="A1058" s="1" t="s">
        <v>1070</v>
      </c>
      <c r="B1058">
        <f>HYPERLINK("https://www.suredividend.com/sure-analysis-research-database/","Metromile Inc")</f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>
      <c r="A1059" s="1" t="s">
        <v>1071</v>
      </c>
      <c r="B1059">
        <f>HYPERLINK("https://www.suredividend.com/sure-analysis-research-database/","Mimecast Ltd")</f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>
      <c r="A1060" s="1" t="s">
        <v>1072</v>
      </c>
      <c r="B1060">
        <f>HYPERLINK("https://www.suredividend.com/sure-analysis-research-database/","Mirum Pharmaceuticals Inc")</f>
        <v>0</v>
      </c>
      <c r="C1060">
        <v>0.102422907488986</v>
      </c>
      <c r="D1060">
        <v>0.074610842726784</v>
      </c>
      <c r="E1060">
        <v>-0.160938809723386</v>
      </c>
      <c r="F1060">
        <v>0.026666666666666</v>
      </c>
      <c r="G1060">
        <v>0.286632390745501</v>
      </c>
      <c r="H1060">
        <v>0.01060070671378</v>
      </c>
      <c r="I1060">
        <v>0.515518546555639</v>
      </c>
    </row>
    <row r="1061" spans="1:9">
      <c r="A1061" s="1" t="s">
        <v>1073</v>
      </c>
      <c r="B1061">
        <f>HYPERLINK("https://www.suredividend.com/sure-analysis-research-database/","Mitek Systems Inc")</f>
        <v>0</v>
      </c>
      <c r="C1061">
        <v>-0.06997084548104901</v>
      </c>
      <c r="D1061">
        <v>-0.087702573879885</v>
      </c>
      <c r="E1061">
        <v>-0.029411764705882</v>
      </c>
      <c r="F1061">
        <v>-0.012383900928792</v>
      </c>
      <c r="G1061">
        <v>-0.4146788990825681</v>
      </c>
      <c r="H1061">
        <v>-0.436727486756915</v>
      </c>
      <c r="I1061">
        <v>0.05745856353591101</v>
      </c>
    </row>
    <row r="1062" spans="1:9">
      <c r="A1062" s="1" t="s">
        <v>1074</v>
      </c>
      <c r="B1062">
        <f>HYPERLINK("https://www.suredividend.com/sure-analysis-research-database/","Mesa Laboratories, Inc.")</f>
        <v>0</v>
      </c>
      <c r="C1062">
        <v>0.029421925380009</v>
      </c>
      <c r="D1062">
        <v>0.342727947952112</v>
      </c>
      <c r="E1062">
        <v>-0.121214325597489</v>
      </c>
      <c r="F1062">
        <v>0.07568738343059901</v>
      </c>
      <c r="G1062">
        <v>-0.412764352933911</v>
      </c>
      <c r="H1062">
        <v>-0.379398774556425</v>
      </c>
      <c r="I1062">
        <v>0.353978366941087</v>
      </c>
    </row>
    <row r="1063" spans="1:9">
      <c r="A1063" s="1" t="s">
        <v>1075</v>
      </c>
      <c r="B1063">
        <f>HYPERLINK("https://www.suredividend.com/sure-analysis-MLI/","Mueller Industries, Inc.")</f>
        <v>0</v>
      </c>
      <c r="C1063">
        <v>-0.05918429929469401</v>
      </c>
      <c r="D1063">
        <v>0.022987202656832</v>
      </c>
      <c r="E1063">
        <v>0.165038220696516</v>
      </c>
      <c r="F1063">
        <v>0.04</v>
      </c>
      <c r="G1063">
        <v>0.05054821632801101</v>
      </c>
      <c r="H1063">
        <v>0.646465974557056</v>
      </c>
      <c r="I1063">
        <v>0.7724831807638201</v>
      </c>
    </row>
    <row r="1064" spans="1:9">
      <c r="A1064" s="1" t="s">
        <v>1076</v>
      </c>
      <c r="B1064">
        <f>HYPERLINK("https://www.suredividend.com/sure-analysis-research-database/","MillerKnoll Inc")</f>
        <v>0</v>
      </c>
      <c r="C1064">
        <v>0.171775898520084</v>
      </c>
      <c r="D1064">
        <v>0.288923513406665</v>
      </c>
      <c r="E1064">
        <v>-0.183756120908655</v>
      </c>
      <c r="F1064">
        <v>0.05521180390290301</v>
      </c>
      <c r="G1064">
        <v>-0.362197928653624</v>
      </c>
      <c r="H1064">
        <v>-0.348967510042991</v>
      </c>
      <c r="I1064">
        <v>-0.394872382761641</v>
      </c>
    </row>
    <row r="1065" spans="1:9">
      <c r="A1065" s="1" t="s">
        <v>1077</v>
      </c>
      <c r="B1065">
        <f>HYPERLINK("https://www.suredividend.com/sure-analysis-research-database/","MeridianLink Inc")</f>
        <v>0</v>
      </c>
      <c r="C1065">
        <v>0.103216155572176</v>
      </c>
      <c r="D1065">
        <v>-0.144927536231884</v>
      </c>
      <c r="E1065">
        <v>-0.165723981900452</v>
      </c>
      <c r="F1065">
        <v>0.07428987618353901</v>
      </c>
      <c r="G1065">
        <v>-0.183729939125622</v>
      </c>
      <c r="H1065">
        <v>-0.40040650406504</v>
      </c>
      <c r="I1065">
        <v>-0.40040650406504</v>
      </c>
    </row>
    <row r="1066" spans="1:9">
      <c r="A1066" s="1" t="s">
        <v>1078</v>
      </c>
      <c r="B1066">
        <f>HYPERLINK("https://www.suredividend.com/sure-analysis-MLR/","Miller Industries Inc.")</f>
        <v>0</v>
      </c>
      <c r="C1066">
        <v>0.016218208625138</v>
      </c>
      <c r="D1066">
        <v>0.255150121781885</v>
      </c>
      <c r="E1066">
        <v>0.248454714648625</v>
      </c>
      <c r="F1066">
        <v>0.034133533383345</v>
      </c>
      <c r="G1066">
        <v>-0.174474277552707</v>
      </c>
      <c r="H1066">
        <v>-0.263645395980898</v>
      </c>
      <c r="I1066">
        <v>0.218192020996911</v>
      </c>
    </row>
    <row r="1067" spans="1:9">
      <c r="A1067" s="1" t="s">
        <v>1079</v>
      </c>
      <c r="B1067">
        <f>HYPERLINK("https://www.suredividend.com/sure-analysis-research-database/","Meta Materials Inc")</f>
        <v>0</v>
      </c>
      <c r="C1067">
        <v>-0.204225352112676</v>
      </c>
      <c r="D1067">
        <v>0.6785502079619721</v>
      </c>
      <c r="E1067">
        <v>0.06603773584905601</v>
      </c>
      <c r="F1067">
        <v>-0.050420168067226</v>
      </c>
      <c r="G1067">
        <v>-0.534979423868312</v>
      </c>
      <c r="H1067">
        <v>-0.5</v>
      </c>
      <c r="I1067">
        <v>-0.5515873015873011</v>
      </c>
    </row>
    <row r="1068" spans="1:9">
      <c r="A1068" s="1" t="s">
        <v>1080</v>
      </c>
      <c r="B1068">
        <f>HYPERLINK("https://www.suredividend.com/sure-analysis-research-database/","Marcus &amp; Millichap Inc")</f>
        <v>0</v>
      </c>
      <c r="C1068">
        <v>0.041091954022988</v>
      </c>
      <c r="D1068">
        <v>0.095886267392619</v>
      </c>
      <c r="E1068">
        <v>-0.003383489670728</v>
      </c>
      <c r="F1068">
        <v>0.051669085631349</v>
      </c>
      <c r="G1068">
        <v>-0.248818698463841</v>
      </c>
      <c r="H1068">
        <v>-0.03664882486046901</v>
      </c>
      <c r="I1068">
        <v>0.162495949072217</v>
      </c>
    </row>
    <row r="1069" spans="1:9">
      <c r="A1069" s="1" t="s">
        <v>1081</v>
      </c>
      <c r="B1069">
        <f>HYPERLINK("https://www.suredividend.com/sure-analysis-MMS/","Maximus Inc.")</f>
        <v>0</v>
      </c>
      <c r="C1069">
        <v>0.023699340905903</v>
      </c>
      <c r="D1069">
        <v>0.290756064785345</v>
      </c>
      <c r="E1069">
        <v>0.169395790815917</v>
      </c>
      <c r="F1069">
        <v>-0.004500204554752</v>
      </c>
      <c r="G1069">
        <v>-0.041601077607993</v>
      </c>
      <c r="H1069">
        <v>-0.025022204117611</v>
      </c>
      <c r="I1069">
        <v>0.09601545832213501</v>
      </c>
    </row>
    <row r="1070" spans="1:9">
      <c r="A1070" s="1" t="s">
        <v>1082</v>
      </c>
      <c r="B1070">
        <f>HYPERLINK("https://www.suredividend.com/sure-analysis-research-database/","Merit Medical Systems, Inc.")</f>
        <v>0</v>
      </c>
      <c r="C1070">
        <v>-0.040165631469979</v>
      </c>
      <c r="D1070">
        <v>0.213824402164426</v>
      </c>
      <c r="E1070">
        <v>0.290645879732739</v>
      </c>
      <c r="F1070">
        <v>-0.015293118096856</v>
      </c>
      <c r="G1070">
        <v>0.177048070412999</v>
      </c>
      <c r="H1070">
        <v>0.217436974789916</v>
      </c>
      <c r="I1070">
        <v>0.5539664804469271</v>
      </c>
    </row>
    <row r="1071" spans="1:9">
      <c r="A1071" s="1" t="s">
        <v>1083</v>
      </c>
      <c r="B1071">
        <f>HYPERLINK("https://www.suredividend.com/sure-analysis-research-database/","Mannkind Corp")</f>
        <v>0</v>
      </c>
      <c r="C1071">
        <v>0.021413276231263</v>
      </c>
      <c r="D1071">
        <v>0.4859813084112141</v>
      </c>
      <c r="E1071">
        <v>0.09907834101382401</v>
      </c>
      <c r="F1071">
        <v>-0.09487666034155501</v>
      </c>
      <c r="G1071">
        <v>0.171990171990171</v>
      </c>
      <c r="H1071">
        <v>0.402941176470588</v>
      </c>
      <c r="I1071">
        <v>0.8705882352941171</v>
      </c>
    </row>
    <row r="1072" spans="1:9">
      <c r="A1072" s="1" t="s">
        <v>1084</v>
      </c>
      <c r="B1072">
        <f>HYPERLINK("https://www.suredividend.com/sure-analysis-research-database/","Mind Medicine Inc")</f>
        <v>0</v>
      </c>
      <c r="C1072">
        <v>0.007575757575757001</v>
      </c>
      <c r="D1072">
        <v>-0.136363636363636</v>
      </c>
      <c r="E1072">
        <v>-0.7201620114670451</v>
      </c>
      <c r="F1072">
        <v>0.209090909090909</v>
      </c>
      <c r="G1072">
        <v>-0.7201620114670451</v>
      </c>
      <c r="H1072">
        <v>-0.7201620114670451</v>
      </c>
      <c r="I1072">
        <v>-0.7201620114670451</v>
      </c>
    </row>
    <row r="1073" spans="1:9">
      <c r="A1073" s="1" t="s">
        <v>1085</v>
      </c>
      <c r="B1073">
        <f>HYPERLINK("https://www.suredividend.com/sure-analysis-research-database/","Brigham Minerals Inc")</f>
        <v>0</v>
      </c>
      <c r="C1073">
        <v>-0.05797101449275301</v>
      </c>
      <c r="D1073">
        <v>0.275179898456443</v>
      </c>
      <c r="E1073">
        <v>0.24438114054232</v>
      </c>
      <c r="F1073">
        <v>0.5957420691619161</v>
      </c>
      <c r="G1073">
        <v>0.570420051123212</v>
      </c>
      <c r="H1073">
        <v>2.260302556077204</v>
      </c>
      <c r="I1073">
        <v>0.9750835612275901</v>
      </c>
    </row>
    <row r="1074" spans="1:9">
      <c r="A1074" s="1" t="s">
        <v>1086</v>
      </c>
      <c r="B1074">
        <f>HYPERLINK("https://www.suredividend.com/sure-analysis-research-database/","Monro Inc")</f>
        <v>0</v>
      </c>
      <c r="C1074">
        <v>-0.034924571192395</v>
      </c>
      <c r="D1074">
        <v>0.011854076341898</v>
      </c>
      <c r="E1074">
        <v>0.073173422067387</v>
      </c>
      <c r="F1074">
        <v>0.033185840707964</v>
      </c>
      <c r="G1074">
        <v>-0.1812375410477</v>
      </c>
      <c r="H1074">
        <v>-0.130677587490692</v>
      </c>
      <c r="I1074">
        <v>-0.149467825478811</v>
      </c>
    </row>
    <row r="1075" spans="1:9">
      <c r="A1075" s="1" t="s">
        <v>1087</v>
      </c>
      <c r="B1075">
        <f>HYPERLINK("https://www.suredividend.com/sure-analysis-research-database/","Momentive Global Inc")</f>
        <v>0</v>
      </c>
      <c r="C1075">
        <v>-0.03814713896457701</v>
      </c>
      <c r="D1075">
        <v>0.225694444444444</v>
      </c>
      <c r="E1075">
        <v>-0.258403361344537</v>
      </c>
      <c r="F1075">
        <v>0.008571428571428001</v>
      </c>
      <c r="G1075">
        <v>-0.64486921529175</v>
      </c>
      <c r="H1075">
        <v>-0.738518518518518</v>
      </c>
      <c r="I1075">
        <v>-0.590487238979118</v>
      </c>
    </row>
    <row r="1076" spans="1:9">
      <c r="A1076" s="1" t="s">
        <v>1088</v>
      </c>
      <c r="B1076">
        <f>HYPERLINK("https://www.suredividend.com/sure-analysis-research-database/","Modine Manufacturing Co.")</f>
        <v>0</v>
      </c>
      <c r="C1076">
        <v>0.13770325203252</v>
      </c>
      <c r="D1076">
        <v>0.692365835222978</v>
      </c>
      <c r="E1076">
        <v>1.056014692378329</v>
      </c>
      <c r="F1076">
        <v>0.127391742195367</v>
      </c>
      <c r="G1076">
        <v>1.116257088846881</v>
      </c>
      <c r="H1076">
        <v>0.6634472511144121</v>
      </c>
      <c r="I1076">
        <v>0.05364705882352901</v>
      </c>
    </row>
    <row r="1077" spans="1:9">
      <c r="A1077" s="1" t="s">
        <v>1089</v>
      </c>
      <c r="B1077">
        <f>HYPERLINK("https://www.suredividend.com/sure-analysis-research-database/","Model N Inc")</f>
        <v>0</v>
      </c>
      <c r="C1077">
        <v>0.041656018400204</v>
      </c>
      <c r="D1077">
        <v>0.200235571260306</v>
      </c>
      <c r="E1077">
        <v>0.5265917602996251</v>
      </c>
      <c r="F1077">
        <v>0.004930966469427</v>
      </c>
      <c r="G1077">
        <v>0.4352112676056331</v>
      </c>
      <c r="H1077">
        <v>0.09540446116635301</v>
      </c>
      <c r="I1077">
        <v>1.629677419354838</v>
      </c>
    </row>
    <row r="1078" spans="1:9">
      <c r="A1078" s="1" t="s">
        <v>1090</v>
      </c>
      <c r="B1078">
        <f>HYPERLINK("https://www.suredividend.com/sure-analysis-research-database/","ModivCare Inc")</f>
        <v>0</v>
      </c>
      <c r="C1078">
        <v>0.034376036255112</v>
      </c>
      <c r="D1078">
        <v>-0.02955511770196</v>
      </c>
      <c r="E1078">
        <v>0.068020999771741</v>
      </c>
      <c r="F1078">
        <v>0.042906497269586</v>
      </c>
      <c r="G1078">
        <v>-0.288797689618483</v>
      </c>
      <c r="H1078">
        <v>-0.4037591589678241</v>
      </c>
      <c r="I1078">
        <v>0.47882427307206</v>
      </c>
    </row>
    <row r="1079" spans="1:9">
      <c r="A1079" s="1" t="s">
        <v>1091</v>
      </c>
      <c r="B1079">
        <f>HYPERLINK("https://www.suredividend.com/sure-analysis-research-database/","MidWestOne Financial Group Inc")</f>
        <v>0</v>
      </c>
      <c r="C1079">
        <v>-0.058963668850506</v>
      </c>
      <c r="D1079">
        <v>0.157470999124571</v>
      </c>
      <c r="E1079">
        <v>0.09620214522597001</v>
      </c>
      <c r="F1079">
        <v>-0.004724409448818001</v>
      </c>
      <c r="G1079">
        <v>-0.034763776761632</v>
      </c>
      <c r="H1079">
        <v>0.301536307096667</v>
      </c>
      <c r="I1079">
        <v>0.098324360208681</v>
      </c>
    </row>
    <row r="1080" spans="1:9">
      <c r="A1080" s="1" t="s">
        <v>1092</v>
      </c>
      <c r="B1080">
        <f>HYPERLINK("https://www.suredividend.com/sure-analysis-research-database/","Moog, Inc.")</f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>
      <c r="A1081" s="1" t="s">
        <v>1093</v>
      </c>
      <c r="B1081">
        <f>HYPERLINK("https://www.suredividend.com/sure-analysis-research-database/","Morphic Holding Inc")</f>
        <v>0</v>
      </c>
      <c r="C1081">
        <v>-0.003066308930624</v>
      </c>
      <c r="D1081">
        <v>-0.081243376898622</v>
      </c>
      <c r="E1081">
        <v>0.030915576694411</v>
      </c>
      <c r="F1081">
        <v>-0.027663551401869</v>
      </c>
      <c r="G1081">
        <v>-0.455629970699037</v>
      </c>
      <c r="H1081">
        <v>-0.151109660574412</v>
      </c>
      <c r="I1081">
        <v>0.4450000000000001</v>
      </c>
    </row>
    <row r="1082" spans="1:9">
      <c r="A1082" s="1" t="s">
        <v>1094</v>
      </c>
      <c r="B1082">
        <f>HYPERLINK("https://www.suredividend.com/sure-analysis-research-database/","Movado Group, Inc.")</f>
        <v>0</v>
      </c>
      <c r="C1082">
        <v>0.117894056847545</v>
      </c>
      <c r="D1082">
        <v>0.141615017465621</v>
      </c>
      <c r="E1082">
        <v>0.109046047361168</v>
      </c>
      <c r="F1082">
        <v>0.073178294573643</v>
      </c>
      <c r="G1082">
        <v>-0.122037097166977</v>
      </c>
      <c r="H1082">
        <v>1.02141142526735</v>
      </c>
      <c r="I1082">
        <v>0.20918012626342</v>
      </c>
    </row>
    <row r="1083" spans="1:9">
      <c r="A1083" s="1" t="s">
        <v>1095</v>
      </c>
      <c r="B1083">
        <f>HYPERLINK("https://www.suredividend.com/sure-analysis-research-database/","MP Materials Corporation")</f>
        <v>0</v>
      </c>
      <c r="C1083">
        <v>-0.122733160621761</v>
      </c>
      <c r="D1083">
        <v>-0.068111455108359</v>
      </c>
      <c r="E1083">
        <v>-0.068111455108359</v>
      </c>
      <c r="F1083">
        <v>0.115733113673805</v>
      </c>
      <c r="G1083">
        <v>-0.068111455108359</v>
      </c>
      <c r="H1083">
        <v>-0.068111455108359</v>
      </c>
      <c r="I1083">
        <v>-0.068111455108359</v>
      </c>
    </row>
    <row r="1084" spans="1:9">
      <c r="A1084" s="1" t="s">
        <v>1096</v>
      </c>
      <c r="B1084">
        <f>HYPERLINK("https://www.suredividend.com/sure-analysis-research-database/","Motorcar Parts of America Inc.")</f>
        <v>0</v>
      </c>
      <c r="C1084">
        <v>0.279678068410462</v>
      </c>
      <c r="D1084">
        <v>-0.169712793733681</v>
      </c>
      <c r="E1084">
        <v>-0.08026030368763501</v>
      </c>
      <c r="F1084">
        <v>0.07251264755480601</v>
      </c>
      <c r="G1084">
        <v>-0.280949689089881</v>
      </c>
      <c r="H1084">
        <v>-0.390804597701149</v>
      </c>
      <c r="I1084">
        <v>-0.5465240641711231</v>
      </c>
    </row>
    <row r="1085" spans="1:9">
      <c r="A1085" s="1" t="s">
        <v>1097</v>
      </c>
      <c r="B1085">
        <f>HYPERLINK("https://www.suredividend.com/sure-analysis-research-database/","Mid Penn Bancorp, Inc.")</f>
        <v>0</v>
      </c>
      <c r="C1085">
        <v>-0.07956270877619101</v>
      </c>
      <c r="D1085">
        <v>0.030927835051546</v>
      </c>
      <c r="E1085">
        <v>0.142682646379117</v>
      </c>
      <c r="F1085">
        <v>0.011344678011344</v>
      </c>
      <c r="G1085">
        <v>-0.065074630548709</v>
      </c>
      <c r="H1085">
        <v>0.3367792924904841</v>
      </c>
      <c r="I1085">
        <v>0.013695423153458</v>
      </c>
    </row>
    <row r="1086" spans="1:9">
      <c r="A1086" s="1" t="s">
        <v>1098</v>
      </c>
      <c r="B1086">
        <f>HYPERLINK("https://www.suredividend.com/sure-analysis-research-database/","MultiPlan Corp")</f>
        <v>0</v>
      </c>
      <c r="C1086">
        <v>-0.265822784810126</v>
      </c>
      <c r="D1086">
        <v>-0.55893536121673</v>
      </c>
      <c r="E1086">
        <v>-0.793226381461675</v>
      </c>
      <c r="F1086">
        <v>0.008695652173912001</v>
      </c>
      <c r="G1086">
        <v>-0.7121588089330021</v>
      </c>
      <c r="H1086">
        <v>-0.8514724711907811</v>
      </c>
      <c r="I1086">
        <v>-0.8806584362139911</v>
      </c>
    </row>
    <row r="1087" spans="1:9">
      <c r="A1087" s="1" t="s">
        <v>1099</v>
      </c>
      <c r="B1087">
        <f>HYPERLINK("https://www.suredividend.com/sure-analysis-research-database/","Marine Products Corp")</f>
        <v>0</v>
      </c>
      <c r="C1087">
        <v>0.08377425044091701</v>
      </c>
      <c r="D1087">
        <v>0.4205957486158141</v>
      </c>
      <c r="E1087">
        <v>0.383183460322104</v>
      </c>
      <c r="F1087">
        <v>0.044180118946474</v>
      </c>
      <c r="G1087">
        <v>0.050319625337572</v>
      </c>
      <c r="H1087">
        <v>-0.128498592408222</v>
      </c>
      <c r="I1087">
        <v>0.08514264019001001</v>
      </c>
    </row>
    <row r="1088" spans="1:9">
      <c r="A1088" s="1" t="s">
        <v>1100</v>
      </c>
      <c r="B1088">
        <f>HYPERLINK("https://www.suredividend.com/sure-analysis-research-database/","MRC Global Inc")</f>
        <v>0</v>
      </c>
      <c r="C1088">
        <v>0.066427289048474</v>
      </c>
      <c r="D1088">
        <v>0.47029702970297</v>
      </c>
      <c r="E1088">
        <v>0.1071761416589</v>
      </c>
      <c r="F1088">
        <v>0.025906735751295</v>
      </c>
      <c r="G1088">
        <v>0.554973821989529</v>
      </c>
      <c r="H1088">
        <v>0.627397260273972</v>
      </c>
      <c r="I1088">
        <v>-0.32994923857868</v>
      </c>
    </row>
    <row r="1089" spans="1:9">
      <c r="A1089" s="1" t="s">
        <v>1101</v>
      </c>
      <c r="B1089">
        <f>HYPERLINK("https://www.suredividend.com/sure-analysis-research-database/","Marinus Pharmaceuticals Inc")</f>
        <v>0</v>
      </c>
      <c r="C1089">
        <v>0.028436018957346</v>
      </c>
      <c r="D1089">
        <v>-0.365497076023391</v>
      </c>
      <c r="E1089">
        <v>-0.203669724770642</v>
      </c>
      <c r="F1089">
        <v>0.090452261306532</v>
      </c>
      <c r="G1089">
        <v>-0.608303249097472</v>
      </c>
      <c r="H1089">
        <v>-0.651405622489959</v>
      </c>
      <c r="I1089">
        <v>-0.8603603603603601</v>
      </c>
    </row>
    <row r="1090" spans="1:9">
      <c r="A1090" s="1" t="s">
        <v>1102</v>
      </c>
      <c r="B1090">
        <f>HYPERLINK("https://www.suredividend.com/sure-analysis-research-database/","Mersana Therapeutics Inc")</f>
        <v>0</v>
      </c>
      <c r="C1090">
        <v>-0.147058823529411</v>
      </c>
      <c r="D1090">
        <v>-0.269230769230769</v>
      </c>
      <c r="E1090">
        <v>0.02037037037037</v>
      </c>
      <c r="F1090">
        <v>-0.059726962457338</v>
      </c>
      <c r="G1090">
        <v>-0.121212121212121</v>
      </c>
      <c r="H1090">
        <v>-0.7042404723564141</v>
      </c>
      <c r="I1090">
        <v>-0.655625</v>
      </c>
    </row>
    <row r="1091" spans="1:9">
      <c r="A1091" s="1" t="s">
        <v>1103</v>
      </c>
      <c r="B1091">
        <f>HYPERLINK("https://www.suredividend.com/sure-analysis-research-database/","Marten Transport, Ltd.")</f>
        <v>0</v>
      </c>
      <c r="C1091">
        <v>-0.021192705766387</v>
      </c>
      <c r="D1091">
        <v>0.017298166711913</v>
      </c>
      <c r="E1091">
        <v>0.194938658612162</v>
      </c>
      <c r="F1091">
        <v>0.004044489383215001</v>
      </c>
      <c r="G1091">
        <v>0.201401029599472</v>
      </c>
      <c r="H1091">
        <v>0.170866299567262</v>
      </c>
      <c r="I1091">
        <v>0.580782272314819</v>
      </c>
    </row>
    <row r="1092" spans="1:9">
      <c r="A1092" s="1" t="s">
        <v>1104</v>
      </c>
      <c r="B1092">
        <f>HYPERLINK("https://www.suredividend.com/sure-analysis-research-database/","Midland States Bancorp Inc")</f>
        <v>0</v>
      </c>
      <c r="C1092">
        <v>-0.024835646457268</v>
      </c>
      <c r="D1092">
        <v>0.147281758649731</v>
      </c>
      <c r="E1092">
        <v>0.116402757974753</v>
      </c>
      <c r="F1092">
        <v>0.003005259203606</v>
      </c>
      <c r="G1092">
        <v>0.0360442511185</v>
      </c>
      <c r="H1092">
        <v>0.538186783115663</v>
      </c>
      <c r="I1092">
        <v>0.018353242711336</v>
      </c>
    </row>
    <row r="1093" spans="1:9">
      <c r="A1093" s="1" t="s">
        <v>1105</v>
      </c>
      <c r="B1093">
        <f>HYPERLINK("https://www.suredividend.com/sure-analysis-MSEX/","Middlesex Water Co.")</f>
        <v>0</v>
      </c>
      <c r="C1093">
        <v>-0.127318350425485</v>
      </c>
      <c r="D1093">
        <v>0.06913346592245601</v>
      </c>
      <c r="E1093">
        <v>-0.095057946158267</v>
      </c>
      <c r="F1093">
        <v>0.016778950044489</v>
      </c>
      <c r="G1093">
        <v>-0.277792223739048</v>
      </c>
      <c r="H1093">
        <v>0.136578386112685</v>
      </c>
      <c r="I1093">
        <v>1.23712582888882</v>
      </c>
    </row>
    <row r="1094" spans="1:9">
      <c r="A1094" s="1" t="s">
        <v>1106</v>
      </c>
      <c r="B1094">
        <f>HYPERLINK("https://www.suredividend.com/sure-analysis-research-database/","Madison Square Garden Entertainment Corp")</f>
        <v>0</v>
      </c>
      <c r="C1094">
        <v>0.138217338217338</v>
      </c>
      <c r="D1094">
        <v>0.012600477949163</v>
      </c>
      <c r="E1094">
        <v>-0.08768839303190401</v>
      </c>
      <c r="F1094">
        <v>0.036468756949077</v>
      </c>
      <c r="G1094">
        <v>-0.356215469613259</v>
      </c>
      <c r="H1094">
        <v>-0.5384691553619171</v>
      </c>
      <c r="I1094">
        <v>-0.4733928369675741</v>
      </c>
    </row>
    <row r="1095" spans="1:9">
      <c r="A1095" s="1" t="s">
        <v>1107</v>
      </c>
      <c r="B1095">
        <f>HYPERLINK("https://www.suredividend.com/sure-analysis-research-database/","Microstrategy Inc.")</f>
        <v>0</v>
      </c>
      <c r="C1095">
        <v>-0.138942189421894</v>
      </c>
      <c r="D1095">
        <v>-0.205583295506128</v>
      </c>
      <c r="E1095">
        <v>-0.209101590744757</v>
      </c>
      <c r="F1095">
        <v>0.236208236208236</v>
      </c>
      <c r="G1095">
        <v>-0.6376229423335741</v>
      </c>
      <c r="H1095">
        <v>-0.670811075163644</v>
      </c>
      <c r="I1095">
        <v>0.284477064220183</v>
      </c>
    </row>
    <row r="1096" spans="1:9">
      <c r="A1096" s="1" t="s">
        <v>1108</v>
      </c>
      <c r="B1096">
        <f>HYPERLINK("https://www.suredividend.com/sure-analysis-research-database/","Matador Resources Co")</f>
        <v>0</v>
      </c>
      <c r="C1096">
        <v>0.029051708386625</v>
      </c>
      <c r="D1096">
        <v>-0.09298805037523701</v>
      </c>
      <c r="E1096">
        <v>0.211544956449347</v>
      </c>
      <c r="F1096">
        <v>-0.016072676450034</v>
      </c>
      <c r="G1096">
        <v>0.3726140108015361</v>
      </c>
      <c r="H1096">
        <v>2.661589072445112</v>
      </c>
      <c r="I1096">
        <v>0.8006323953973891</v>
      </c>
    </row>
    <row r="1097" spans="1:9">
      <c r="A1097" s="1" t="s">
        <v>1109</v>
      </c>
      <c r="B1097">
        <f>HYPERLINK("https://www.suredividend.com/sure-analysis-research-database/","Molecular Templates Inc")</f>
        <v>0</v>
      </c>
      <c r="C1097">
        <v>-0.072398190045248</v>
      </c>
      <c r="D1097">
        <v>-0.390334572490706</v>
      </c>
      <c r="E1097">
        <v>-0.571174563330195</v>
      </c>
      <c r="F1097">
        <v>0.249999999999999</v>
      </c>
      <c r="G1097">
        <v>-0.895408163265306</v>
      </c>
      <c r="H1097">
        <v>-0.96</v>
      </c>
      <c r="I1097">
        <v>-0.9656903765690371</v>
      </c>
    </row>
    <row r="1098" spans="1:9">
      <c r="A1098" s="1" t="s">
        <v>1110</v>
      </c>
      <c r="B1098">
        <f>HYPERLINK("https://www.suredividend.com/sure-analysis-research-database/","Meritage Homes Corp.")</f>
        <v>0</v>
      </c>
      <c r="C1098">
        <v>0.132019592208679</v>
      </c>
      <c r="D1098">
        <v>0.339533629869254</v>
      </c>
      <c r="E1098">
        <v>0.21550880626223</v>
      </c>
      <c r="F1098">
        <v>0.07787418655097601</v>
      </c>
      <c r="G1098">
        <v>-0.066503851211722</v>
      </c>
      <c r="H1098">
        <v>0.239770459081836</v>
      </c>
      <c r="I1098">
        <v>0.8472118959107801</v>
      </c>
    </row>
    <row r="1099" spans="1:9">
      <c r="A1099" s="1" t="s">
        <v>1111</v>
      </c>
      <c r="B1099">
        <f>HYPERLINK("https://www.suredividend.com/sure-analysis-research-database/","Meritor Inc")</f>
        <v>0</v>
      </c>
      <c r="C1099">
        <v>0.006063947078279001</v>
      </c>
      <c r="D1099">
        <v>0.015581524763494</v>
      </c>
      <c r="E1099">
        <v>0.5316827528325641</v>
      </c>
      <c r="F1099">
        <v>0.472962066182405</v>
      </c>
      <c r="G1099">
        <v>0.5323257766582701</v>
      </c>
      <c r="H1099">
        <v>0.604395604395604</v>
      </c>
      <c r="I1099">
        <v>1.005494505494505</v>
      </c>
    </row>
    <row r="1100" spans="1:9">
      <c r="A1100" s="1" t="s">
        <v>1112</v>
      </c>
      <c r="B1100">
        <f>HYPERLINK("https://www.suredividend.com/sure-analysis-research-database/","Materion Corp")</f>
        <v>0</v>
      </c>
      <c r="C1100">
        <v>0.121427710116966</v>
      </c>
      <c r="D1100">
        <v>0.134221034068097</v>
      </c>
      <c r="E1100">
        <v>0.289306519454664</v>
      </c>
      <c r="F1100">
        <v>0.062735687350017</v>
      </c>
      <c r="G1100">
        <v>0.029244943695874</v>
      </c>
      <c r="H1100">
        <v>0.38859856063547</v>
      </c>
      <c r="I1100">
        <v>0.8899289142866431</v>
      </c>
    </row>
    <row r="1101" spans="1:9">
      <c r="A1101" s="1" t="s">
        <v>1113</v>
      </c>
      <c r="B1101">
        <f>HYPERLINK("https://www.suredividend.com/sure-analysis-research-database/","Matrix Service Co.")</f>
        <v>0</v>
      </c>
      <c r="C1101">
        <v>0.444859813084112</v>
      </c>
      <c r="D1101">
        <v>0.9922680412371131</v>
      </c>
      <c r="E1101">
        <v>0.623949579831933</v>
      </c>
      <c r="F1101">
        <v>0.242765273311897</v>
      </c>
      <c r="G1101">
        <v>-0.032540675844806</v>
      </c>
      <c r="H1101">
        <v>-0.330155979202772</v>
      </c>
      <c r="I1101">
        <v>-0.57174515235457</v>
      </c>
    </row>
    <row r="1102" spans="1:9">
      <c r="A1102" s="1" t="s">
        <v>1114</v>
      </c>
      <c r="B1102">
        <f>HYPERLINK("https://www.suredividend.com/sure-analysis-research-database/","MACOM Technology Solutions Holdings Inc")</f>
        <v>0</v>
      </c>
      <c r="C1102">
        <v>-0.042763636363636</v>
      </c>
      <c r="D1102">
        <v>0.165397556224544</v>
      </c>
      <c r="E1102">
        <v>0.398724760892667</v>
      </c>
      <c r="F1102">
        <v>0.044934899968243</v>
      </c>
      <c r="G1102">
        <v>-0.092025386313465</v>
      </c>
      <c r="H1102">
        <v>0.132897228438629</v>
      </c>
      <c r="I1102">
        <v>0.8316170331199551</v>
      </c>
    </row>
    <row r="1103" spans="1:9">
      <c r="A1103" s="1" t="s">
        <v>1115</v>
      </c>
      <c r="B1103">
        <f>HYPERLINK("https://www.suredividend.com/sure-analysis-research-database/","Manitowoc Co., Inc.")</f>
        <v>0</v>
      </c>
      <c r="C1103">
        <v>0.115217391304347</v>
      </c>
      <c r="D1103">
        <v>0.252747252747252</v>
      </c>
      <c r="E1103">
        <v>-0.026565464895635</v>
      </c>
      <c r="F1103">
        <v>0.120087336244541</v>
      </c>
      <c r="G1103">
        <v>-0.467012987012987</v>
      </c>
      <c r="H1103">
        <v>-0.284518828451882</v>
      </c>
      <c r="I1103">
        <v>-0.7413010590015121</v>
      </c>
    </row>
    <row r="1104" spans="1:9">
      <c r="A1104" s="1" t="s">
        <v>1116</v>
      </c>
      <c r="B1104">
        <f>HYPERLINK("https://www.suredividend.com/sure-analysis-research-database/","Minerals Technologies, Inc.")</f>
        <v>0</v>
      </c>
      <c r="C1104">
        <v>0.069187582562747</v>
      </c>
      <c r="D1104">
        <v>0.28055533581204</v>
      </c>
      <c r="E1104">
        <v>0.06395389916510401</v>
      </c>
      <c r="F1104">
        <v>0.06637022397891901</v>
      </c>
      <c r="G1104">
        <v>-0.121901737075003</v>
      </c>
      <c r="H1104">
        <v>-0.04453288356286601</v>
      </c>
      <c r="I1104">
        <v>-0.06720852607422201</v>
      </c>
    </row>
    <row r="1105" spans="1:9">
      <c r="A1105" s="1" t="s">
        <v>1117</v>
      </c>
      <c r="B1105">
        <f>HYPERLINK("https://www.suredividend.com/sure-analysis-research-database/","Murphy Oil Corp.")</f>
        <v>0</v>
      </c>
      <c r="C1105">
        <v>0.022699536246033</v>
      </c>
      <c r="D1105">
        <v>-0.027772299167689</v>
      </c>
      <c r="E1105">
        <v>0.47341695589947</v>
      </c>
      <c r="F1105">
        <v>-0.025807951639153</v>
      </c>
      <c r="G1105">
        <v>0.398372681337898</v>
      </c>
      <c r="H1105">
        <v>2.135640785781104</v>
      </c>
      <c r="I1105">
        <v>0.481408150926852</v>
      </c>
    </row>
    <row r="1106" spans="1:9">
      <c r="A1106" s="1" t="s">
        <v>1118</v>
      </c>
      <c r="B1106">
        <f>HYPERLINK("https://www.suredividend.com/sure-analysis-research-database/","Murphy USA Inc")</f>
        <v>0</v>
      </c>
      <c r="C1106">
        <v>-0.07849533261616401</v>
      </c>
      <c r="D1106">
        <v>-0.012199916899062</v>
      </c>
      <c r="E1106">
        <v>0.043182777957828</v>
      </c>
      <c r="F1106">
        <v>-0.050046504972454</v>
      </c>
      <c r="G1106">
        <v>0.369379125412541</v>
      </c>
      <c r="H1106">
        <v>1.110345101623189</v>
      </c>
      <c r="I1106">
        <v>2.140986592700799</v>
      </c>
    </row>
    <row r="1107" spans="1:9">
      <c r="A1107" s="1" t="s">
        <v>1119</v>
      </c>
      <c r="B1107">
        <f>HYPERLINK("https://www.suredividend.com/sure-analysis-research-database/","MVB Financial Corp.")</f>
        <v>0</v>
      </c>
      <c r="C1107">
        <v>-0.006932409012131001</v>
      </c>
      <c r="D1107">
        <v>-0.142780204655616</v>
      </c>
      <c r="E1107">
        <v>-0.2609669982427</v>
      </c>
      <c r="F1107">
        <v>0.040871934604904</v>
      </c>
      <c r="G1107">
        <v>-0.440458374936831</v>
      </c>
      <c r="H1107">
        <v>0.034697581191256</v>
      </c>
      <c r="I1107">
        <v>0.233179634242794</v>
      </c>
    </row>
    <row r="1108" spans="1:9">
      <c r="A1108" s="1" t="s">
        <v>1120</v>
      </c>
      <c r="B1108">
        <f>HYPERLINK("https://www.suredividend.com/sure-analysis-research-database/","Microvision Inc.")</f>
        <v>0</v>
      </c>
      <c r="C1108">
        <v>-0.133333333333333</v>
      </c>
      <c r="D1108">
        <v>-0.262686567164179</v>
      </c>
      <c r="E1108">
        <v>-0.4959183673469381</v>
      </c>
      <c r="F1108">
        <v>0.05106382978723401</v>
      </c>
      <c r="G1108">
        <v>-0.422897196261682</v>
      </c>
      <c r="H1108">
        <v>-0.581355932203389</v>
      </c>
      <c r="I1108">
        <v>0.593548387096774</v>
      </c>
    </row>
    <row r="1109" spans="1:9">
      <c r="A1109" s="1" t="s">
        <v>1121</v>
      </c>
      <c r="B1109">
        <f>HYPERLINK("https://www.suredividend.com/sure-analysis-MWA/","Mueller Water Products Inc")</f>
        <v>0</v>
      </c>
      <c r="C1109">
        <v>-0.004385964912280001</v>
      </c>
      <c r="D1109">
        <v>0.08475418609985401</v>
      </c>
      <c r="E1109">
        <v>-0.032255314069387</v>
      </c>
      <c r="F1109">
        <v>0.054832713754646</v>
      </c>
      <c r="G1109">
        <v>-0.166170777040677</v>
      </c>
      <c r="H1109">
        <v>-0.08799447171979301</v>
      </c>
      <c r="I1109">
        <v>-0.008317897459196</v>
      </c>
    </row>
    <row r="1110" spans="1:9">
      <c r="A1110" s="1" t="s">
        <v>1122</v>
      </c>
      <c r="B1110">
        <f>HYPERLINK("https://www.suredividend.com/sure-analysis-research-database/","MaxCyte Inc")</f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>
      <c r="A1111" s="1" t="s">
        <v>1123</v>
      </c>
      <c r="B1111">
        <f>HYPERLINK("https://www.suredividend.com/sure-analysis-research-database/","MaxLinear Inc")</f>
        <v>0</v>
      </c>
      <c r="C1111">
        <v>-0.007130633200228001</v>
      </c>
      <c r="D1111">
        <v>0.017241379310344</v>
      </c>
      <c r="E1111">
        <v>-0.009109023626529001</v>
      </c>
      <c r="F1111">
        <v>0.025331369661266</v>
      </c>
      <c r="G1111">
        <v>-0.466921898928024</v>
      </c>
      <c r="H1111">
        <v>-0.06550335570469701</v>
      </c>
      <c r="I1111">
        <v>0.243214285714285</v>
      </c>
    </row>
    <row r="1112" spans="1:9">
      <c r="A1112" s="1" t="s">
        <v>1124</v>
      </c>
      <c r="B1112">
        <f>HYPERLINK("https://www.suredividend.com/sure-analysis-research-database/","Myers Industries Inc.")</f>
        <v>0</v>
      </c>
      <c r="C1112">
        <v>0.005603448275862</v>
      </c>
      <c r="D1112">
        <v>0.439536978761738</v>
      </c>
      <c r="E1112">
        <v>0.0644947870326</v>
      </c>
      <c r="F1112">
        <v>0.049482681061628</v>
      </c>
      <c r="G1112">
        <v>0.229266339283832</v>
      </c>
      <c r="H1112">
        <v>0.135716406793852</v>
      </c>
      <c r="I1112">
        <v>0.269362815776444</v>
      </c>
    </row>
    <row r="1113" spans="1:9">
      <c r="A1113" s="1" t="s">
        <v>1125</v>
      </c>
      <c r="B1113">
        <f>HYPERLINK("https://www.suredividend.com/sure-analysis-research-database/","Myriad Genetics, Inc.")</f>
        <v>0</v>
      </c>
      <c r="C1113">
        <v>-0.111995753715498</v>
      </c>
      <c r="D1113">
        <v>-0.14729867482161</v>
      </c>
      <c r="E1113">
        <v>-0.149033570701932</v>
      </c>
      <c r="F1113">
        <v>0.152997932460372</v>
      </c>
      <c r="G1113">
        <v>-0.328920978740473</v>
      </c>
      <c r="H1113">
        <v>-0.308105872622001</v>
      </c>
      <c r="I1113">
        <v>-0.5173110213502591</v>
      </c>
    </row>
    <row r="1114" spans="1:9">
      <c r="A1114" s="1" t="s">
        <v>1126</v>
      </c>
      <c r="B1114">
        <f>HYPERLINK("https://www.suredividend.com/sure-analysis-research-database/","MYR Group Inc")</f>
        <v>0</v>
      </c>
      <c r="C1114">
        <v>0.05918322777899</v>
      </c>
      <c r="D1114">
        <v>0.137563035065087</v>
      </c>
      <c r="E1114">
        <v>0.102899374644684</v>
      </c>
      <c r="F1114">
        <v>0.053546214836537</v>
      </c>
      <c r="G1114">
        <v>-0.049112832075286</v>
      </c>
      <c r="H1114">
        <v>0.55423810286813</v>
      </c>
      <c r="I1114">
        <v>1.810779484207476</v>
      </c>
    </row>
    <row r="1115" spans="1:9">
      <c r="A1115" s="1" t="s">
        <v>1127</v>
      </c>
      <c r="B1115">
        <f>HYPERLINK("https://www.suredividend.com/sure-analysis-research-database/","Duckhorn Portfolio Inc (The)")</f>
        <v>0</v>
      </c>
      <c r="C1115">
        <v>-0.042117930204572</v>
      </c>
      <c r="D1115">
        <v>0.09566414315209901</v>
      </c>
      <c r="E1115">
        <v>-0.160780179230363</v>
      </c>
      <c r="F1115">
        <v>-0.039227519613759</v>
      </c>
      <c r="G1115">
        <v>-0.285778375953342</v>
      </c>
      <c r="H1115">
        <v>-0.07334109429569201</v>
      </c>
      <c r="I1115">
        <v>-0.07334109429569201</v>
      </c>
    </row>
    <row r="1116" spans="1:9">
      <c r="A1116" s="1" t="s">
        <v>1128</v>
      </c>
      <c r="B1116">
        <f>HYPERLINK("https://www.suredividend.com/sure-analysis-research-database/","Inari Medical Inc")</f>
        <v>0</v>
      </c>
      <c r="C1116">
        <v>-0.064464259611167</v>
      </c>
      <c r="D1116">
        <v>-0.104895104895104</v>
      </c>
      <c r="E1116">
        <v>-0.148709763234902</v>
      </c>
      <c r="F1116">
        <v>0.006922592825676001</v>
      </c>
      <c r="G1116">
        <v>-0.239904988123515</v>
      </c>
      <c r="H1116">
        <v>-0.238910690926388</v>
      </c>
      <c r="I1116">
        <v>0.505528111032698</v>
      </c>
    </row>
    <row r="1117" spans="1:9">
      <c r="A1117" s="1" t="s">
        <v>1129</v>
      </c>
      <c r="B1117">
        <f>HYPERLINK("https://www.suredividend.com/sure-analysis-research-database/","Nordic American Tankers Ltd")</f>
        <v>0</v>
      </c>
      <c r="C1117">
        <v>-0.093167701863354</v>
      </c>
      <c r="D1117">
        <v>0.09203784733909201</v>
      </c>
      <c r="E1117">
        <v>0.539759544399915</v>
      </c>
      <c r="F1117">
        <v>-0.045751633986928</v>
      </c>
      <c r="G1117">
        <v>0.7024253731343281</v>
      </c>
      <c r="H1117">
        <v>0.024885051419746</v>
      </c>
      <c r="I1117">
        <v>0.504534212695795</v>
      </c>
    </row>
    <row r="1118" spans="1:9">
      <c r="A1118" s="1" t="s">
        <v>1130</v>
      </c>
      <c r="B1118">
        <f>HYPERLINK("https://www.suredividend.com/sure-analysis-research-database/","Nathan`s Famous, Inc.")</f>
        <v>0</v>
      </c>
      <c r="C1118">
        <v>0.030866047347917</v>
      </c>
      <c r="D1118">
        <v>0.07046890583452201</v>
      </c>
      <c r="E1118">
        <v>0.284689415130205</v>
      </c>
      <c r="F1118">
        <v>0.023657193869959</v>
      </c>
      <c r="G1118">
        <v>0.214597055661381</v>
      </c>
      <c r="H1118">
        <v>0.259231466144427</v>
      </c>
      <c r="I1118">
        <v>0.027259710067891</v>
      </c>
    </row>
    <row r="1119" spans="1:9">
      <c r="A1119" s="1" t="s">
        <v>1131</v>
      </c>
      <c r="B1119">
        <f>HYPERLINK("https://www.suredividend.com/sure-analysis-research-database/","Nature`s Sunshine Products, Inc.")</f>
        <v>0</v>
      </c>
      <c r="C1119">
        <v>0.125925925925925</v>
      </c>
      <c r="D1119">
        <v>0.121771217712177</v>
      </c>
      <c r="E1119">
        <v>-0.123919308357348</v>
      </c>
      <c r="F1119">
        <v>0.09615384615384601</v>
      </c>
      <c r="G1119">
        <v>-0.5125601282736501</v>
      </c>
      <c r="H1119">
        <v>-0.387026743646787</v>
      </c>
      <c r="I1119">
        <v>-0.169844983114719</v>
      </c>
    </row>
    <row r="1120" spans="1:9">
      <c r="A1120" s="1" t="s">
        <v>1132</v>
      </c>
      <c r="B1120">
        <f>HYPERLINK("https://www.suredividend.com/sure-analysis-NAVI/","Navient Corp")</f>
        <v>0</v>
      </c>
      <c r="C1120">
        <v>0.034926470588235</v>
      </c>
      <c r="D1120">
        <v>0.140022273969828</v>
      </c>
      <c r="E1120">
        <v>0.169189873943471</v>
      </c>
      <c r="F1120">
        <v>0.026747720364741</v>
      </c>
      <c r="G1120">
        <v>-0.210589043592871</v>
      </c>
      <c r="H1120">
        <v>0.668889876982362</v>
      </c>
      <c r="I1120">
        <v>0.570885145881193</v>
      </c>
    </row>
    <row r="1121" spans="1:9">
      <c r="A1121" s="1" t="s">
        <v>1133</v>
      </c>
      <c r="B1121">
        <f>HYPERLINK("https://www.suredividend.com/sure-analysis-research-database/","NewAge Inc")</f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>
      <c r="A1122" s="1" t="s">
        <v>1134</v>
      </c>
      <c r="B1122">
        <f>HYPERLINK("https://www.suredividend.com/sure-analysis-research-database/","National Bank Holdings Corp")</f>
        <v>0</v>
      </c>
      <c r="C1122">
        <v>-0.000693160813308</v>
      </c>
      <c r="D1122">
        <v>0.161463578382007</v>
      </c>
      <c r="E1122">
        <v>0.142925095463974</v>
      </c>
      <c r="F1122">
        <v>0.028048490610886</v>
      </c>
      <c r="G1122">
        <v>-0.067574443131742</v>
      </c>
      <c r="H1122">
        <v>0.272968621691385</v>
      </c>
      <c r="I1122">
        <v>0.466047028754859</v>
      </c>
    </row>
    <row r="1123" spans="1:9">
      <c r="A1123" s="1" t="s">
        <v>1135</v>
      </c>
      <c r="B1123">
        <f>HYPERLINK("https://www.suredividend.com/sure-analysis-research-database/","Nabors Industries Ltd")</f>
        <v>0</v>
      </c>
      <c r="C1123">
        <v>0.164407421431275</v>
      </c>
      <c r="D1123">
        <v>0.183679753656658</v>
      </c>
      <c r="E1123">
        <v>0.316776569324312</v>
      </c>
      <c r="F1123">
        <v>-0.0071673016078</v>
      </c>
      <c r="G1123">
        <v>0.622625580413676</v>
      </c>
      <c r="H1123">
        <v>1.251903925014645</v>
      </c>
      <c r="I1123">
        <v>-0.5465820852741791</v>
      </c>
    </row>
    <row r="1124" spans="1:9">
      <c r="A1124" s="1" t="s">
        <v>1136</v>
      </c>
      <c r="B1124">
        <f>HYPERLINK("https://www.suredividend.com/sure-analysis-research-database/","NBT Bancorp. Inc.")</f>
        <v>0</v>
      </c>
      <c r="C1124">
        <v>0.001420790906938</v>
      </c>
      <c r="D1124">
        <v>0.072142053117806</v>
      </c>
      <c r="E1124">
        <v>0.12992991709216</v>
      </c>
      <c r="F1124">
        <v>-0.026024873330262</v>
      </c>
      <c r="G1124">
        <v>0.05250321052055201</v>
      </c>
      <c r="H1124">
        <v>0.311728634394027</v>
      </c>
      <c r="I1124">
        <v>0.305400016051265</v>
      </c>
    </row>
    <row r="1125" spans="1:9">
      <c r="A1125" s="1" t="s">
        <v>1137</v>
      </c>
      <c r="B1125">
        <f>HYPERLINK("https://www.suredividend.com/sure-analysis-research-database/","Nicolet Bankshares Inc.")</f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>
      <c r="A1126" s="1" t="s">
        <v>1138</v>
      </c>
      <c r="B1126">
        <f>HYPERLINK("https://www.suredividend.com/sure-analysis-research-database/","National Cinemedia Inc")</f>
        <v>0</v>
      </c>
      <c r="C1126">
        <v>-0.231742683891378</v>
      </c>
      <c r="D1126">
        <v>-0.4285153951755241</v>
      </c>
      <c r="E1126">
        <v>-0.6955704137066441</v>
      </c>
      <c r="F1126">
        <v>0.324545454545454</v>
      </c>
      <c r="G1126">
        <v>-0.8905909739430801</v>
      </c>
      <c r="H1126">
        <v>-0.913977859778597</v>
      </c>
      <c r="I1126">
        <v>-0.929326736515328</v>
      </c>
    </row>
    <row r="1127" spans="1:9">
      <c r="A1127" s="1" t="s">
        <v>1139</v>
      </c>
      <c r="B1127">
        <f>HYPERLINK("https://www.suredividend.com/sure-analysis-research-database/","Noodles &amp; Company")</f>
        <v>0</v>
      </c>
      <c r="C1127">
        <v>0.06578947368421001</v>
      </c>
      <c r="D1127">
        <v>0.201271186440678</v>
      </c>
      <c r="E1127">
        <v>0.096711798839458</v>
      </c>
      <c r="F1127">
        <v>0.032786885245901</v>
      </c>
      <c r="G1127">
        <v>-0.310218978102189</v>
      </c>
      <c r="H1127">
        <v>-0.352</v>
      </c>
      <c r="I1127">
        <v>0.030909090909091</v>
      </c>
    </row>
    <row r="1128" spans="1:9">
      <c r="A1128" s="1" t="s">
        <v>1140</v>
      </c>
      <c r="B1128">
        <f>HYPERLINK("https://www.suredividend.com/sure-analysis-research-database/","Neogenomics Inc.")</f>
        <v>0</v>
      </c>
      <c r="C1128">
        <v>-0.151618398637137</v>
      </c>
      <c r="D1128">
        <v>0.207272727272727</v>
      </c>
      <c r="E1128">
        <v>0.114093959731543</v>
      </c>
      <c r="F1128">
        <v>0.077922077922077</v>
      </c>
      <c r="G1128">
        <v>-0.644919786096256</v>
      </c>
      <c r="H1128">
        <v>-0.810068649885583</v>
      </c>
      <c r="I1128">
        <v>0.178698224852071</v>
      </c>
    </row>
    <row r="1129" spans="1:9">
      <c r="A1129" s="1" t="s">
        <v>1141</v>
      </c>
      <c r="B1129">
        <f>HYPERLINK("https://www.suredividend.com/sure-analysis-research-database/","Neogen Corp.")</f>
        <v>0</v>
      </c>
      <c r="C1129">
        <v>0.128476821192053</v>
      </c>
      <c r="D1129">
        <v>0.34384858044164</v>
      </c>
      <c r="E1129">
        <v>-0.271483539974348</v>
      </c>
      <c r="F1129">
        <v>0.118844386080104</v>
      </c>
      <c r="G1129">
        <v>-0.574319260554584</v>
      </c>
      <c r="H1129">
        <v>-0.593559928443649</v>
      </c>
      <c r="I1129">
        <v>-0.426455738808482</v>
      </c>
    </row>
    <row r="1130" spans="1:9">
      <c r="A1130" s="1" t="s">
        <v>1142</v>
      </c>
      <c r="B1130">
        <f>HYPERLINK("https://www.suredividend.com/sure-analysis-research-database/","National Energy Services Reunited Corp")</f>
        <v>0</v>
      </c>
      <c r="C1130">
        <v>0.213310580204778</v>
      </c>
      <c r="D1130">
        <v>0.156097560975609</v>
      </c>
      <c r="E1130">
        <v>0.119685039370078</v>
      </c>
      <c r="F1130">
        <v>0.024495677233429</v>
      </c>
      <c r="G1130">
        <v>-0.277439024390243</v>
      </c>
      <c r="H1130">
        <v>-0.319617224880382</v>
      </c>
      <c r="I1130">
        <v>-0.285067873303167</v>
      </c>
    </row>
    <row r="1131" spans="1:9">
      <c r="A1131" s="1" t="s">
        <v>1143</v>
      </c>
      <c r="B1131">
        <f>HYPERLINK("https://www.suredividend.com/sure-analysis-research-database/","NexTier Oilfield Solutions Inc")</f>
        <v>0</v>
      </c>
      <c r="C1131">
        <v>0.006779661016949001</v>
      </c>
      <c r="D1131">
        <v>-0.033622559652928</v>
      </c>
      <c r="E1131">
        <v>0.08131067961165001</v>
      </c>
      <c r="F1131">
        <v>-0.035714285714285</v>
      </c>
      <c r="G1131">
        <v>0.625912408759123</v>
      </c>
      <c r="H1131">
        <v>1.278772378516623</v>
      </c>
      <c r="I1131">
        <v>-0.509090909090909</v>
      </c>
    </row>
    <row r="1132" spans="1:9">
      <c r="A1132" s="1" t="s">
        <v>1144</v>
      </c>
      <c r="B1132">
        <f>HYPERLINK("https://www.suredividend.com/sure-analysis-research-database/","Neximmune Inc")</f>
        <v>0</v>
      </c>
      <c r="C1132">
        <v>-0.073360184119677</v>
      </c>
      <c r="D1132">
        <v>-0.5152016857314871</v>
      </c>
      <c r="E1132">
        <v>-0.8148850574712641</v>
      </c>
      <c r="F1132">
        <v>0.32496914849856</v>
      </c>
      <c r="G1132">
        <v>-0.923309523809523</v>
      </c>
      <c r="H1132">
        <v>-0.98728385313857</v>
      </c>
      <c r="I1132">
        <v>-0.98728385313857</v>
      </c>
    </row>
    <row r="1133" spans="1:9">
      <c r="A1133" s="1" t="s">
        <v>1145</v>
      </c>
      <c r="B1133">
        <f>HYPERLINK("https://www.suredividend.com/sure-analysis-research-database/","Northfield Bancorp Inc")</f>
        <v>0</v>
      </c>
      <c r="C1133">
        <v>0.010276172125883</v>
      </c>
      <c r="D1133">
        <v>0.09687811613101101</v>
      </c>
      <c r="E1133">
        <v>0.210400363197057</v>
      </c>
      <c r="F1133">
        <v>0</v>
      </c>
      <c r="G1133">
        <v>-0.053436033216993</v>
      </c>
      <c r="H1133">
        <v>0.289164624601489</v>
      </c>
      <c r="I1133">
        <v>0.09629712230717201</v>
      </c>
    </row>
    <row r="1134" spans="1:9">
      <c r="A1134" s="1" t="s">
        <v>1146</v>
      </c>
      <c r="B1134">
        <f>HYPERLINK("https://www.suredividend.com/sure-analysis-research-database/","Novagold Resources Inc.")</f>
        <v>0</v>
      </c>
      <c r="C1134">
        <v>0.11744966442953</v>
      </c>
      <c r="D1134">
        <v>0.4605263157894731</v>
      </c>
      <c r="E1134">
        <v>0.4899328859060401</v>
      </c>
      <c r="F1134">
        <v>0.113712374581939</v>
      </c>
      <c r="G1134">
        <v>0.04552590266875901</v>
      </c>
      <c r="H1134">
        <v>-0.317622950819672</v>
      </c>
      <c r="I1134">
        <v>0.7572559366754611</v>
      </c>
    </row>
    <row r="1135" spans="1:9">
      <c r="A1135" s="1" t="s">
        <v>1147</v>
      </c>
      <c r="B1135">
        <f>HYPERLINK("https://www.suredividend.com/sure-analysis-research-database/","Ngm Biopharmaceuticals Inc")</f>
        <v>0</v>
      </c>
      <c r="C1135">
        <v>-0.051485148514851</v>
      </c>
      <c r="D1135">
        <v>-0.606085526315789</v>
      </c>
      <c r="E1135">
        <v>-0.6956797966963151</v>
      </c>
      <c r="F1135">
        <v>-0.045816733067729</v>
      </c>
      <c r="G1135">
        <v>-0.7180694526191871</v>
      </c>
      <c r="H1135">
        <v>-0.828438395415472</v>
      </c>
      <c r="I1135">
        <v>-0.674149659863945</v>
      </c>
    </row>
    <row r="1136" spans="1:9">
      <c r="A1136" s="1" t="s">
        <v>1148</v>
      </c>
      <c r="B1136">
        <f>HYPERLINK("https://www.suredividend.com/sure-analysis-research-database/","NeoGames SA")</f>
        <v>0</v>
      </c>
      <c r="C1136">
        <v>-0.064491654021244</v>
      </c>
      <c r="D1136">
        <v>-0.105224963715529</v>
      </c>
      <c r="E1136">
        <v>-0.03671875</v>
      </c>
      <c r="F1136">
        <v>0.011484823625922</v>
      </c>
      <c r="G1136">
        <v>-0.539237668161435</v>
      </c>
      <c r="H1136">
        <v>-0.6060702875399361</v>
      </c>
      <c r="I1136">
        <v>-0.4362139917695471</v>
      </c>
    </row>
    <row r="1137" spans="1:9">
      <c r="A1137" s="1" t="s">
        <v>1149</v>
      </c>
      <c r="B1137">
        <f>HYPERLINK("https://www.suredividend.com/sure-analysis-research-database/","Natural Grocers by Vitamin Cottage Inc")</f>
        <v>0</v>
      </c>
      <c r="C1137">
        <v>-0.012461059190031</v>
      </c>
      <c r="D1137">
        <v>-0.07400194741966801</v>
      </c>
      <c r="E1137">
        <v>-0.4107149496226341</v>
      </c>
      <c r="F1137">
        <v>0.040481400437636</v>
      </c>
      <c r="G1137">
        <v>-0.334667263670454</v>
      </c>
      <c r="H1137">
        <v>-0.306112918995432</v>
      </c>
      <c r="I1137">
        <v>0.21080172644284</v>
      </c>
    </row>
    <row r="1138" spans="1:9">
      <c r="A1138" s="1" t="s">
        <v>1150</v>
      </c>
      <c r="B1138">
        <f>HYPERLINK("https://www.suredividend.com/sure-analysis-research-database/","Ingevity Corp")</f>
        <v>0</v>
      </c>
      <c r="C1138">
        <v>0.05544747081712</v>
      </c>
      <c r="D1138">
        <v>0.223815662262326</v>
      </c>
      <c r="E1138">
        <v>0.192494897158109</v>
      </c>
      <c r="F1138">
        <v>0.07822260079500201</v>
      </c>
      <c r="G1138">
        <v>0.031929347826087</v>
      </c>
      <c r="H1138">
        <v>0.007829087048832001</v>
      </c>
      <c r="I1138">
        <v>0.026490066225165</v>
      </c>
    </row>
    <row r="1139" spans="1:9">
      <c r="A1139" s="1" t="s">
        <v>1151</v>
      </c>
      <c r="B1139">
        <f>HYPERLINK("https://www.suredividend.com/sure-analysis-research-database/","NantHealth Inc")</f>
        <v>0</v>
      </c>
      <c r="C1139">
        <v>-0.07480835315886801</v>
      </c>
      <c r="D1139">
        <v>-0.07112526539278101</v>
      </c>
      <c r="E1139">
        <v>-0.482056973732889</v>
      </c>
      <c r="F1139">
        <v>-0.041095890410958</v>
      </c>
      <c r="G1139">
        <v>-0.758629012792662</v>
      </c>
      <c r="H1139">
        <v>-0.9364214350590371</v>
      </c>
      <c r="I1139">
        <v>-0.9401709401709401</v>
      </c>
    </row>
    <row r="1140" spans="1:9">
      <c r="A1140" s="1" t="s">
        <v>1152</v>
      </c>
      <c r="B1140">
        <f>HYPERLINK("https://www.suredividend.com/sure-analysis-NHC/","National Healthcare Corp.")</f>
        <v>0</v>
      </c>
      <c r="C1140">
        <v>-0.030042798399955</v>
      </c>
      <c r="D1140">
        <v>-0.08187953226826</v>
      </c>
      <c r="E1140">
        <v>-0.185930149637424</v>
      </c>
      <c r="F1140">
        <v>-0.067563025210084</v>
      </c>
      <c r="G1140">
        <v>-0.180480426362887</v>
      </c>
      <c r="H1140">
        <v>-0.187564524041383</v>
      </c>
      <c r="I1140">
        <v>0.021859091009555</v>
      </c>
    </row>
    <row r="1141" spans="1:9">
      <c r="A1141" s="1" t="s">
        <v>1153</v>
      </c>
      <c r="B1141">
        <f>HYPERLINK("https://www.suredividend.com/sure-analysis-NHI/","National Health Investors, Inc.")</f>
        <v>0</v>
      </c>
      <c r="C1141">
        <v>-0.051494891422542</v>
      </c>
      <c r="D1141">
        <v>0.048141957205827</v>
      </c>
      <c r="E1141">
        <v>-0.09662027289382201</v>
      </c>
      <c r="F1141">
        <v>0.012255840674071</v>
      </c>
      <c r="G1141">
        <v>-0.077396743835348</v>
      </c>
      <c r="H1141">
        <v>-0.102612203183808</v>
      </c>
      <c r="I1141">
        <v>-0.010903266489155</v>
      </c>
    </row>
    <row r="1142" spans="1:9">
      <c r="A1142" s="1" t="s">
        <v>1154</v>
      </c>
      <c r="B1142">
        <f>HYPERLINK("https://www.suredividend.com/sure-analysis-NJR/","New Jersey Resources Corporation")</f>
        <v>0</v>
      </c>
      <c r="C1142">
        <v>0.026325460059523</v>
      </c>
      <c r="D1142">
        <v>0.314445452970367</v>
      </c>
      <c r="E1142">
        <v>0.182626580364164</v>
      </c>
      <c r="F1142">
        <v>0.024385328496574</v>
      </c>
      <c r="G1142">
        <v>0.312368485599576</v>
      </c>
      <c r="H1142">
        <v>0.5352784825419831</v>
      </c>
      <c r="I1142">
        <v>0.49820351162633</v>
      </c>
    </row>
    <row r="1143" spans="1:9">
      <c r="A1143" s="1" t="s">
        <v>1155</v>
      </c>
      <c r="B1143">
        <f>HYPERLINK("https://www.suredividend.com/sure-analysis-research-database/","Nikola Corporation")</f>
        <v>0</v>
      </c>
      <c r="C1143">
        <v>-0.017241379310344</v>
      </c>
      <c r="D1143">
        <v>-0.298461538461538</v>
      </c>
      <c r="E1143">
        <v>-0.584699453551912</v>
      </c>
      <c r="F1143">
        <v>0.055555555555555</v>
      </c>
      <c r="G1143">
        <v>-0.785310734463276</v>
      </c>
      <c r="H1143">
        <v>-0.871549295774647</v>
      </c>
      <c r="I1143">
        <v>-0.762004175365344</v>
      </c>
    </row>
    <row r="1144" spans="1:9">
      <c r="A1144" s="1" t="s">
        <v>1156</v>
      </c>
      <c r="B1144">
        <f>HYPERLINK("https://www.suredividend.com/sure-analysis-research-database/","Nkarta Inc")</f>
        <v>0</v>
      </c>
      <c r="C1144">
        <v>-0.282258064516129</v>
      </c>
      <c r="D1144">
        <v>-0.5990990990990991</v>
      </c>
      <c r="E1144">
        <v>-0.630960608154803</v>
      </c>
      <c r="F1144">
        <v>-0.108514190317195</v>
      </c>
      <c r="G1144">
        <v>-0.604444444444444</v>
      </c>
      <c r="H1144">
        <v>-0.9027145199489881</v>
      </c>
      <c r="I1144">
        <v>-0.8885177453027141</v>
      </c>
    </row>
    <row r="1145" spans="1:9">
      <c r="A1145" s="1" t="s">
        <v>1157</v>
      </c>
      <c r="B1145">
        <f>HYPERLINK("https://www.suredividend.com/sure-analysis-research-database/","NL Industries, Inc.")</f>
        <v>0</v>
      </c>
      <c r="C1145">
        <v>0.063609467455621</v>
      </c>
      <c r="D1145">
        <v>-0.06271590775768701</v>
      </c>
      <c r="E1145">
        <v>-0.164177022424235</v>
      </c>
      <c r="F1145">
        <v>0.055800293685756</v>
      </c>
      <c r="G1145">
        <v>0.04816607382354601</v>
      </c>
      <c r="H1145">
        <v>0.6278016753452571</v>
      </c>
      <c r="I1145">
        <v>-0.385139006473571</v>
      </c>
    </row>
    <row r="1146" spans="1:9">
      <c r="A1146" s="1" t="s">
        <v>1158</v>
      </c>
      <c r="B1146">
        <f>HYPERLINK("https://www.suredividend.com/sure-analysis-research-database/","Nautilus Inc")</f>
        <v>0</v>
      </c>
      <c r="C1146">
        <v>-0.012269938650306</v>
      </c>
      <c r="D1146">
        <v>-0.018292682926829</v>
      </c>
      <c r="E1146">
        <v>-0.206896551724137</v>
      </c>
      <c r="F1146">
        <v>0.052287581699346</v>
      </c>
      <c r="G1146">
        <v>-0.7294117647058821</v>
      </c>
      <c r="H1146">
        <v>-0.9182326053834431</v>
      </c>
      <c r="I1146">
        <v>-0.8732283464566921</v>
      </c>
    </row>
    <row r="1147" spans="1:9">
      <c r="A1147" s="1" t="s">
        <v>1159</v>
      </c>
      <c r="B1147">
        <f>HYPERLINK("https://www.suredividend.com/sure-analysis-research-database/","Neoleukin Therapeutics Inc")</f>
        <v>0</v>
      </c>
      <c r="C1147">
        <v>0.314523809523809</v>
      </c>
      <c r="D1147">
        <v>-0.13041423846275</v>
      </c>
      <c r="E1147">
        <v>-0.502612612612612</v>
      </c>
      <c r="F1147">
        <v>0.08467583497053001</v>
      </c>
      <c r="G1147">
        <v>-0.865341463414634</v>
      </c>
      <c r="H1147">
        <v>-0.960704626334519</v>
      </c>
      <c r="I1147">
        <v>-0.9520330147697651</v>
      </c>
    </row>
    <row r="1148" spans="1:9">
      <c r="A1148" s="1" t="s">
        <v>1160</v>
      </c>
      <c r="B1148">
        <f>HYPERLINK("https://www.suredividend.com/sure-analysis-research-database/","NMI Holdings Inc")</f>
        <v>0</v>
      </c>
      <c r="C1148">
        <v>0.020865139949109</v>
      </c>
      <c r="D1148">
        <v>-0.057330827067669</v>
      </c>
      <c r="E1148">
        <v>0.180694526191877</v>
      </c>
      <c r="F1148">
        <v>-0.040191387559808</v>
      </c>
      <c r="G1148">
        <v>-0.162071846282372</v>
      </c>
      <c r="H1148">
        <v>-0.168669705760464</v>
      </c>
      <c r="I1148">
        <v>0.105234159779614</v>
      </c>
    </row>
    <row r="1149" spans="1:9">
      <c r="A1149" s="1" t="s">
        <v>1161</v>
      </c>
      <c r="B1149">
        <f>HYPERLINK("https://www.suredividend.com/sure-analysis-research-database/","Newmark Group Inc")</f>
        <v>0</v>
      </c>
      <c r="C1149">
        <v>0.002400960384153</v>
      </c>
      <c r="D1149">
        <v>0.004124727924287</v>
      </c>
      <c r="E1149">
        <v>-0.144248014347937</v>
      </c>
      <c r="F1149">
        <v>0.047678795483061</v>
      </c>
      <c r="G1149">
        <v>-0.496399406535348</v>
      </c>
      <c r="H1149">
        <v>0.1843803633991</v>
      </c>
      <c r="I1149">
        <v>-0.405245238400501</v>
      </c>
    </row>
    <row r="1150" spans="1:9">
      <c r="A1150" s="1" t="s">
        <v>1162</v>
      </c>
      <c r="B1150">
        <f>HYPERLINK("https://www.suredividend.com/sure-analysis-research-database/","9 Meters Biopharma Inc")</f>
        <v>0</v>
      </c>
      <c r="C1150">
        <v>0.425806451612903</v>
      </c>
      <c r="D1150">
        <v>-0.495894160583941</v>
      </c>
      <c r="E1150">
        <v>-0.52858361774744</v>
      </c>
      <c r="F1150">
        <v>0.7539682539682541</v>
      </c>
      <c r="G1150">
        <v>-0.875954198473282</v>
      </c>
      <c r="H1150">
        <v>-0.9210714285714281</v>
      </c>
      <c r="I1150">
        <v>-0.5750000000000001</v>
      </c>
    </row>
    <row r="1151" spans="1:9">
      <c r="A1151" s="1" t="s">
        <v>1163</v>
      </c>
      <c r="B1151">
        <f>HYPERLINK("https://www.suredividend.com/sure-analysis-research-database/","NN Inc")</f>
        <v>0</v>
      </c>
      <c r="C1151">
        <v>0.011904761904761</v>
      </c>
      <c r="D1151">
        <v>-0.011627906976744</v>
      </c>
      <c r="E1151">
        <v>-0.3359375</v>
      </c>
      <c r="F1151">
        <v>0.133333333333333</v>
      </c>
      <c r="G1151">
        <v>-0.601873536299765</v>
      </c>
      <c r="H1151">
        <v>-0.7339593114241001</v>
      </c>
      <c r="I1151">
        <v>-0.93416772514638</v>
      </c>
    </row>
    <row r="1152" spans="1:9">
      <c r="A1152" s="1" t="s">
        <v>1164</v>
      </c>
      <c r="B1152">
        <f>HYPERLINK("https://www.suredividend.com/sure-analysis-research-database/","Nelnet Inc")</f>
        <v>0</v>
      </c>
      <c r="C1152">
        <v>-0.022858982614294</v>
      </c>
      <c r="D1152">
        <v>0.140008864648832</v>
      </c>
      <c r="E1152">
        <v>0.06333779456383801</v>
      </c>
      <c r="F1152">
        <v>0.003305785123966</v>
      </c>
      <c r="G1152">
        <v>-0.050913957871212</v>
      </c>
      <c r="H1152">
        <v>0.291984164147971</v>
      </c>
      <c r="I1152">
        <v>0.772204131444798</v>
      </c>
    </row>
    <row r="1153" spans="1:9">
      <c r="A1153" s="1" t="s">
        <v>1165</v>
      </c>
      <c r="B1153">
        <f>HYPERLINK("https://www.suredividend.com/sure-analysis-research-database/","NI Holdings Inc")</f>
        <v>0</v>
      </c>
      <c r="C1153">
        <v>-0.043763676148796</v>
      </c>
      <c r="D1153">
        <v>-0.007570022710068001</v>
      </c>
      <c r="E1153">
        <v>-0.246551724137931</v>
      </c>
      <c r="F1153">
        <v>-0.0120572720422</v>
      </c>
      <c r="G1153">
        <v>-0.292116630669546</v>
      </c>
      <c r="H1153">
        <v>-0.244380403458213</v>
      </c>
      <c r="I1153">
        <v>-0.193726937269372</v>
      </c>
    </row>
    <row r="1154" spans="1:9">
      <c r="A1154" s="1" t="s">
        <v>1166</v>
      </c>
      <c r="B1154">
        <f>HYPERLINK("https://www.suredividend.com/sure-analysis-research-database/","Northern Oil and Gas Inc.")</f>
        <v>0</v>
      </c>
      <c r="C1154">
        <v>-0.003194059373834</v>
      </c>
      <c r="D1154">
        <v>-0.053658836930086</v>
      </c>
      <c r="E1154">
        <v>0.291840894286734</v>
      </c>
      <c r="F1154">
        <v>-0.002595717066839</v>
      </c>
      <c r="G1154">
        <v>0.404615033127712</v>
      </c>
      <c r="H1154">
        <v>2.075845507304382</v>
      </c>
      <c r="I1154">
        <v>0.278324621264102</v>
      </c>
    </row>
    <row r="1155" spans="1:9">
      <c r="A1155" s="1" t="s">
        <v>1167</v>
      </c>
      <c r="B1155">
        <f>HYPERLINK("https://www.suredividend.com/sure-analysis-research-database/","Inotiv Inc")</f>
        <v>0</v>
      </c>
      <c r="C1155">
        <v>-0.14612676056338</v>
      </c>
      <c r="D1155">
        <v>-0.749354005167958</v>
      </c>
      <c r="E1155">
        <v>-0.570035460992907</v>
      </c>
      <c r="F1155">
        <v>-0.018218623481781</v>
      </c>
      <c r="G1155">
        <v>-0.8592162554426701</v>
      </c>
      <c r="H1155">
        <v>-0.626060138781804</v>
      </c>
      <c r="I1155">
        <v>0.9246031746031741</v>
      </c>
    </row>
    <row r="1156" spans="1:9">
      <c r="A1156" s="1" t="s">
        <v>1168</v>
      </c>
      <c r="B1156">
        <f>HYPERLINK("https://www.suredividend.com/sure-analysis-research-database/","Sunnova Energy International Inc")</f>
        <v>0</v>
      </c>
      <c r="C1156">
        <v>-0.137623762376237</v>
      </c>
      <c r="D1156">
        <v>-0.169685414680648</v>
      </c>
      <c r="E1156">
        <v>-0.196494464944649</v>
      </c>
      <c r="F1156">
        <v>-0.032759578012215</v>
      </c>
      <c r="G1156">
        <v>-0.273864110045852</v>
      </c>
      <c r="H1156">
        <v>-0.6673032849503431</v>
      </c>
      <c r="I1156">
        <v>0.5484444444444441</v>
      </c>
    </row>
    <row r="1157" spans="1:9">
      <c r="A1157" s="1" t="s">
        <v>1169</v>
      </c>
      <c r="B1157">
        <f>HYPERLINK("https://www.suredividend.com/sure-analysis-research-database/","Novanta Inc")</f>
        <v>0</v>
      </c>
      <c r="C1157">
        <v>-0.059688346883468</v>
      </c>
      <c r="D1157">
        <v>0.184316067923884</v>
      </c>
      <c r="E1157">
        <v>0.08726987857422601</v>
      </c>
      <c r="F1157">
        <v>0.021491131228379</v>
      </c>
      <c r="G1157">
        <v>-0.132128564282141</v>
      </c>
      <c r="H1157">
        <v>0.061247897231992</v>
      </c>
      <c r="I1157">
        <v>1.656267942583732</v>
      </c>
    </row>
    <row r="1158" spans="1:9">
      <c r="A1158" s="1" t="s">
        <v>1170</v>
      </c>
      <c r="B1158">
        <f>HYPERLINK("https://www.suredividend.com/sure-analysis-research-database/","Neenah Inc")</f>
        <v>0</v>
      </c>
      <c r="C1158">
        <v>-0.160765801206399</v>
      </c>
      <c r="D1158">
        <v>-0.207023786808345</v>
      </c>
      <c r="E1158">
        <v>-0.308257674016428</v>
      </c>
      <c r="F1158">
        <v>-0.292861436198423</v>
      </c>
      <c r="G1158">
        <v>-0.331461425324241</v>
      </c>
      <c r="H1158">
        <v>-0.299431663937369</v>
      </c>
      <c r="I1158">
        <v>-0.528915740691669</v>
      </c>
    </row>
    <row r="1159" spans="1:9">
      <c r="A1159" s="1" t="s">
        <v>1171</v>
      </c>
      <c r="B1159">
        <f>HYPERLINK("https://www.suredividend.com/sure-analysis-research-database/","NeuroPace Inc")</f>
        <v>0</v>
      </c>
      <c r="C1159">
        <v>-0.07386363636363601</v>
      </c>
      <c r="D1159">
        <v>-0.472491909385113</v>
      </c>
      <c r="E1159">
        <v>-0.7179930795847751</v>
      </c>
      <c r="F1159">
        <v>0.09395973154362401</v>
      </c>
      <c r="G1159">
        <v>-0.8376494023904381</v>
      </c>
      <c r="H1159">
        <v>-0.9346955128205121</v>
      </c>
      <c r="I1159">
        <v>-0.9346955128205121</v>
      </c>
    </row>
    <row r="1160" spans="1:9">
      <c r="A1160" s="1" t="s">
        <v>1172</v>
      </c>
      <c r="B1160">
        <f>HYPERLINK("https://www.suredividend.com/sure-analysis-research-database/","National Presto Industries, Inc.")</f>
        <v>0</v>
      </c>
      <c r="C1160">
        <v>-0.000287645620595</v>
      </c>
      <c r="D1160">
        <v>0.081531040921114</v>
      </c>
      <c r="E1160">
        <v>0.051747616886064</v>
      </c>
      <c r="F1160">
        <v>0.015337423312883</v>
      </c>
      <c r="G1160">
        <v>-0.157656707844662</v>
      </c>
      <c r="H1160">
        <v>-0.221204393792043</v>
      </c>
      <c r="I1160">
        <v>-0.231629749668929</v>
      </c>
    </row>
    <row r="1161" spans="1:9">
      <c r="A1161" s="1" t="s">
        <v>1173</v>
      </c>
      <c r="B1161">
        <f>HYPERLINK("https://www.suredividend.com/sure-analysis-research-database/","EnPro Industries Inc")</f>
        <v>0</v>
      </c>
      <c r="C1161">
        <v>0.030512797158211</v>
      </c>
      <c r="D1161">
        <v>0.29319557840041</v>
      </c>
      <c r="E1161">
        <v>0.430241892156676</v>
      </c>
      <c r="F1161">
        <v>0.040942128990707</v>
      </c>
      <c r="G1161">
        <v>-0.007776248896091</v>
      </c>
      <c r="H1161">
        <v>0.42427153055688</v>
      </c>
      <c r="I1161">
        <v>0.309034699716881</v>
      </c>
    </row>
    <row r="1162" spans="1:9">
      <c r="A1162" s="1" t="s">
        <v>1174</v>
      </c>
      <c r="B1162">
        <f>HYPERLINK("https://www.suredividend.com/sure-analysis-research-database/","NeoPhotonics Corporation")</f>
        <v>0</v>
      </c>
      <c r="C1162">
        <v>0.019745222929936</v>
      </c>
      <c r="D1162">
        <v>0.056068601583113</v>
      </c>
      <c r="E1162">
        <v>0.04983606557377</v>
      </c>
      <c r="F1162">
        <v>0.0416395575797</v>
      </c>
      <c r="G1162">
        <v>0.7535596933187291</v>
      </c>
      <c r="H1162">
        <v>0.7574094401756311</v>
      </c>
      <c r="I1162">
        <v>1.090078328981723</v>
      </c>
    </row>
    <row r="1163" spans="1:9">
      <c r="A1163" s="1" t="s">
        <v>1175</v>
      </c>
      <c r="B1163">
        <f>HYPERLINK("https://www.suredividend.com/sure-analysis-research-database/","Newpark Resources, Inc.")</f>
        <v>0</v>
      </c>
      <c r="C1163">
        <v>0.18848167539267</v>
      </c>
      <c r="D1163">
        <v>0.508305647840531</v>
      </c>
      <c r="E1163">
        <v>0.4367088607594931</v>
      </c>
      <c r="F1163">
        <v>0.09397590361445701</v>
      </c>
      <c r="G1163">
        <v>0.359281437125748</v>
      </c>
      <c r="H1163">
        <v>0.7944664031620551</v>
      </c>
      <c r="I1163">
        <v>-0.487005649717514</v>
      </c>
    </row>
    <row r="1164" spans="1:9">
      <c r="A1164" s="1" t="s">
        <v>1176</v>
      </c>
      <c r="B1164">
        <f>HYPERLINK("https://www.suredividend.com/sure-analysis-research-database/","National Research Corp")</f>
        <v>0</v>
      </c>
      <c r="C1164">
        <v>0.05375806527207101</v>
      </c>
      <c r="D1164">
        <v>0.036541480868676</v>
      </c>
      <c r="E1164">
        <v>0.08594443892870601</v>
      </c>
      <c r="F1164">
        <v>0.08498659517426201</v>
      </c>
      <c r="G1164">
        <v>0.01429588266549</v>
      </c>
      <c r="H1164">
        <v>-0.075506050215532</v>
      </c>
      <c r="I1164">
        <v>0.1080567526572</v>
      </c>
    </row>
    <row r="1165" spans="1:9">
      <c r="A1165" s="1" t="s">
        <v>1177</v>
      </c>
      <c r="B1165">
        <f>HYPERLINK("https://www.suredividend.com/sure-analysis-research-database/","Northrim Bancorp, Inc.")</f>
        <v>0</v>
      </c>
      <c r="C1165">
        <v>-0.004061658202592001</v>
      </c>
      <c r="D1165">
        <v>0.305985808255576</v>
      </c>
      <c r="E1165">
        <v>0.369635635675914</v>
      </c>
      <c r="F1165">
        <v>-0.002015759574858</v>
      </c>
      <c r="G1165">
        <v>0.226698141257241</v>
      </c>
      <c r="H1165">
        <v>0.694809761805473</v>
      </c>
      <c r="I1165">
        <v>0.9234029327833181</v>
      </c>
    </row>
    <row r="1166" spans="1:9">
      <c r="A1166" s="1" t="s">
        <v>1178</v>
      </c>
      <c r="B1166">
        <f>HYPERLINK("https://www.suredividend.com/sure-analysis-research-database/","Nurix Therapeutics Inc")</f>
        <v>0</v>
      </c>
      <c r="C1166">
        <v>-0.139983235540653</v>
      </c>
      <c r="D1166">
        <v>-0.06472196900638101</v>
      </c>
      <c r="E1166">
        <v>-0.420666290231507</v>
      </c>
      <c r="F1166">
        <v>-0.065573770491803</v>
      </c>
      <c r="G1166">
        <v>-0.629067245119305</v>
      </c>
      <c r="H1166">
        <v>-0.7450298210735581</v>
      </c>
      <c r="I1166">
        <v>-0.4602840610205151</v>
      </c>
    </row>
    <row r="1167" spans="1:9">
      <c r="A1167" s="1" t="s">
        <v>1179</v>
      </c>
      <c r="B1167">
        <f>HYPERLINK("https://www.suredividend.com/sure-analysis-NSA/","National Storage Affiliates Trust")</f>
        <v>0</v>
      </c>
      <c r="C1167">
        <v>-0.03803061219109601</v>
      </c>
      <c r="D1167">
        <v>-0.060020607934054</v>
      </c>
      <c r="E1167">
        <v>-0.267914428846859</v>
      </c>
      <c r="F1167">
        <v>0.010243632336655</v>
      </c>
      <c r="G1167">
        <v>-0.4061433002743881</v>
      </c>
      <c r="H1167">
        <v>0.058009295636617</v>
      </c>
      <c r="I1167">
        <v>0.694608275669901</v>
      </c>
    </row>
    <row r="1168" spans="1:9">
      <c r="A1168" s="1" t="s">
        <v>1180</v>
      </c>
      <c r="B1168">
        <f>HYPERLINK("https://www.suredividend.com/sure-analysis-research-database/","Insight Enterprises Inc.")</f>
        <v>0</v>
      </c>
      <c r="C1168">
        <v>0.06413848308985301</v>
      </c>
      <c r="D1168">
        <v>0.250146937815916</v>
      </c>
      <c r="E1168">
        <v>0.220870164160257</v>
      </c>
      <c r="F1168">
        <v>0.060636282038496</v>
      </c>
      <c r="G1168">
        <v>0.012182354620729</v>
      </c>
      <c r="H1168">
        <v>0.322596691953737</v>
      </c>
      <c r="I1168">
        <v>1.844343407328162</v>
      </c>
    </row>
    <row r="1169" spans="1:9">
      <c r="A1169" s="1" t="s">
        <v>1181</v>
      </c>
      <c r="B1169">
        <f>HYPERLINK("https://www.suredividend.com/sure-analysis-NSP/","Insperity Inc")</f>
        <v>0</v>
      </c>
      <c r="C1169">
        <v>-0.05113391394326101</v>
      </c>
      <c r="D1169">
        <v>0.073881568546317</v>
      </c>
      <c r="E1169">
        <v>0.07832771010192301</v>
      </c>
      <c r="F1169">
        <v>-0.031338028169013</v>
      </c>
      <c r="G1169">
        <v>0.016025203038842</v>
      </c>
      <c r="H1169">
        <v>0.363376177342977</v>
      </c>
      <c r="I1169">
        <v>1.035038013637196</v>
      </c>
    </row>
    <row r="1170" spans="1:9">
      <c r="A1170" s="1" t="s">
        <v>1182</v>
      </c>
      <c r="B1170">
        <f>HYPERLINK("https://www.suredividend.com/sure-analysis-research-database/","NAPCO Security Technologies Inc")</f>
        <v>0</v>
      </c>
      <c r="C1170">
        <v>0.04498665650019</v>
      </c>
      <c r="D1170">
        <v>-0.006524102935846001</v>
      </c>
      <c r="E1170">
        <v>0.220935412026726</v>
      </c>
      <c r="F1170">
        <v>-0.002547307132459</v>
      </c>
      <c r="G1170">
        <v>0.222024074899688</v>
      </c>
      <c r="H1170">
        <v>0.9627640529896161</v>
      </c>
      <c r="I1170">
        <v>5.159550561797753</v>
      </c>
    </row>
    <row r="1171" spans="1:9">
      <c r="A1171" s="1" t="s">
        <v>1183</v>
      </c>
      <c r="B1171">
        <f>HYPERLINK("https://www.suredividend.com/sure-analysis-research-database/","Nanostring Technologies Inc")</f>
        <v>0</v>
      </c>
      <c r="C1171">
        <v>0.371742112482853</v>
      </c>
      <c r="D1171">
        <v>-0.161777032690695</v>
      </c>
      <c r="E1171">
        <v>-0.332443257676902</v>
      </c>
      <c r="F1171">
        <v>0.254705144291091</v>
      </c>
      <c r="G1171">
        <v>-0.70743124634289</v>
      </c>
      <c r="H1171">
        <v>-0.8483929654335961</v>
      </c>
      <c r="I1171">
        <v>0.236093943139678</v>
      </c>
    </row>
    <row r="1172" spans="1:9">
      <c r="A1172" s="1" t="s">
        <v>1184</v>
      </c>
      <c r="B1172">
        <f>HYPERLINK("https://www.suredividend.com/sure-analysis-research-database/","Bank of N T Butterfield &amp; Son Ltd.")</f>
        <v>0</v>
      </c>
      <c r="C1172">
        <v>-0.103907637655417</v>
      </c>
      <c r="D1172">
        <v>-0.06458301787088301</v>
      </c>
      <c r="E1172">
        <v>-0.020831985508184</v>
      </c>
      <c r="F1172">
        <v>0.015431063401543</v>
      </c>
      <c r="G1172">
        <v>-0.180802580728969</v>
      </c>
      <c r="H1172">
        <v>-0.003453509311964</v>
      </c>
      <c r="I1172">
        <v>0.019233100327286</v>
      </c>
    </row>
    <row r="1173" spans="1:9">
      <c r="A1173" s="1" t="s">
        <v>1185</v>
      </c>
      <c r="B1173">
        <f>HYPERLINK("https://www.suredividend.com/sure-analysis-research-database/","Netscout Systems Inc")</f>
        <v>0</v>
      </c>
      <c r="C1173">
        <v>-0.08175014392630901</v>
      </c>
      <c r="D1173">
        <v>-0.01360544217687</v>
      </c>
      <c r="E1173">
        <v>-0.028031687995125</v>
      </c>
      <c r="F1173">
        <v>-0.018763457397723</v>
      </c>
      <c r="G1173">
        <v>0.018518518518518</v>
      </c>
      <c r="H1173">
        <v>0.104953238656044</v>
      </c>
      <c r="I1173">
        <v>0.04934210526315701</v>
      </c>
    </row>
    <row r="1174" spans="1:9">
      <c r="A1174" s="1" t="s">
        <v>1186</v>
      </c>
      <c r="B1174">
        <f>HYPERLINK("https://www.suredividend.com/sure-analysis-research-database/","Netgear Inc")</f>
        <v>0</v>
      </c>
      <c r="C1174">
        <v>-0.06292352371732801</v>
      </c>
      <c r="D1174">
        <v>-0.067437379576107</v>
      </c>
      <c r="E1174">
        <v>-0.017757483510908</v>
      </c>
      <c r="F1174">
        <v>0.069022639425731</v>
      </c>
      <c r="G1174">
        <v>-0.357237715803452</v>
      </c>
      <c r="H1174">
        <v>-0.522211253701875</v>
      </c>
      <c r="I1174">
        <v>-0.487661263645385</v>
      </c>
    </row>
    <row r="1175" spans="1:9">
      <c r="A1175" s="1" t="s">
        <v>1187</v>
      </c>
      <c r="B1175">
        <f>HYPERLINK("https://www.suredividend.com/sure-analysis-research-database/","Intellia Therapeutics Inc")</f>
        <v>0</v>
      </c>
      <c r="C1175">
        <v>-0.040853979968371</v>
      </c>
      <c r="D1175">
        <v>-0.350410567654409</v>
      </c>
      <c r="E1175">
        <v>-0.425934690014197</v>
      </c>
      <c r="F1175">
        <v>0.042992261392949</v>
      </c>
      <c r="G1175">
        <v>-0.655853981463968</v>
      </c>
      <c r="H1175">
        <v>-0.535604900459418</v>
      </c>
      <c r="I1175">
        <v>0.830482897384305</v>
      </c>
    </row>
    <row r="1176" spans="1:9">
      <c r="A1176" s="1" t="s">
        <v>1188</v>
      </c>
      <c r="B1176">
        <f>HYPERLINK("https://www.suredividend.com/sure-analysis-NTST/","Netstreit Corp")</f>
        <v>0</v>
      </c>
      <c r="C1176">
        <v>-0.01860465116279</v>
      </c>
      <c r="D1176">
        <v>0.061225858369098</v>
      </c>
      <c r="E1176">
        <v>-0.031063126313856</v>
      </c>
      <c r="F1176">
        <v>0.036006546644844</v>
      </c>
      <c r="G1176">
        <v>-0.153954449869907</v>
      </c>
      <c r="H1176">
        <v>0.13394120702936</v>
      </c>
      <c r="I1176">
        <v>0.162022249146381</v>
      </c>
    </row>
    <row r="1177" spans="1:9">
      <c r="A1177" s="1" t="s">
        <v>1189</v>
      </c>
      <c r="B1177">
        <f>HYPERLINK("https://www.suredividend.com/sure-analysis-research-database/","Natus Medical Inc")</f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>
      <c r="A1178" s="1" t="s">
        <v>1190</v>
      </c>
      <c r="B1178">
        <f>HYPERLINK("https://www.suredividend.com/sure-analysis-NUS/","Nu Skin Enterprises, Inc.")</f>
        <v>0</v>
      </c>
      <c r="C1178">
        <v>0.09962168978562401</v>
      </c>
      <c r="D1178">
        <v>0.239252469267391</v>
      </c>
      <c r="E1178">
        <v>0.074256767078465</v>
      </c>
      <c r="F1178">
        <v>0.03415559772296</v>
      </c>
      <c r="G1178">
        <v>-0.157644185812873</v>
      </c>
      <c r="H1178">
        <v>-0.171968474029057</v>
      </c>
      <c r="I1178">
        <v>-0.258813489594489</v>
      </c>
    </row>
    <row r="1179" spans="1:9">
      <c r="A1179" s="1" t="s">
        <v>1191</v>
      </c>
      <c r="B1179">
        <f>HYPERLINK("https://www.suredividend.com/sure-analysis-research-database/","Nuvasive Inc")</f>
        <v>0</v>
      </c>
      <c r="C1179">
        <v>0.017145617000724</v>
      </c>
      <c r="D1179">
        <v>0.052736815796051</v>
      </c>
      <c r="E1179">
        <v>-0.155404050531381</v>
      </c>
      <c r="F1179">
        <v>0.021338506304558</v>
      </c>
      <c r="G1179">
        <v>-0.192019950124688</v>
      </c>
      <c r="H1179">
        <v>-0.252130681818181</v>
      </c>
      <c r="I1179">
        <v>-0.209162598573038</v>
      </c>
    </row>
    <row r="1180" spans="1:9">
      <c r="A1180" s="1" t="s">
        <v>1192</v>
      </c>
      <c r="B1180">
        <f>HYPERLINK("https://www.suredividend.com/sure-analysis-research-database/","Nuvation Bio Inc")</f>
        <v>0</v>
      </c>
      <c r="C1180">
        <v>0.0625</v>
      </c>
      <c r="D1180">
        <v>-0.113043478260869</v>
      </c>
      <c r="E1180">
        <v>-0.495049504950495</v>
      </c>
      <c r="F1180">
        <v>0.0625</v>
      </c>
      <c r="G1180">
        <v>-0.695522388059701</v>
      </c>
      <c r="H1180">
        <v>-0.8148820326678761</v>
      </c>
      <c r="I1180">
        <v>-0.7896907216494841</v>
      </c>
    </row>
    <row r="1181" spans="1:9">
      <c r="A1181" s="1" t="s">
        <v>1193</v>
      </c>
      <c r="B1181">
        <f>HYPERLINK("https://www.suredividend.com/sure-analysis-research-database/","Nuvalent Inc")</f>
        <v>0</v>
      </c>
      <c r="C1181">
        <v>-0.143179619477587</v>
      </c>
      <c r="D1181">
        <v>0.430032292787944</v>
      </c>
      <c r="E1181">
        <v>0.45989010989011</v>
      </c>
      <c r="F1181">
        <v>-0.107790463398253</v>
      </c>
      <c r="G1181">
        <v>0.81986301369863</v>
      </c>
      <c r="H1181">
        <v>0.417066666666666</v>
      </c>
      <c r="I1181">
        <v>0.417066666666666</v>
      </c>
    </row>
    <row r="1182" spans="1:9">
      <c r="A1182" s="1" t="s">
        <v>1194</v>
      </c>
      <c r="B1182">
        <f>HYPERLINK("https://www.suredividend.com/sure-analysis-research-database/","NVE Corp")</f>
        <v>0</v>
      </c>
      <c r="C1182">
        <v>0.142210730446024</v>
      </c>
      <c r="D1182">
        <v>0.533694406832621</v>
      </c>
      <c r="E1182">
        <v>0.5495616371684321</v>
      </c>
      <c r="F1182">
        <v>0.09158301158301101</v>
      </c>
      <c r="G1182">
        <v>0.137211996395932</v>
      </c>
      <c r="H1182">
        <v>0.287586485807036</v>
      </c>
      <c r="I1182">
        <v>0.09197932840490301</v>
      </c>
    </row>
    <row r="1183" spans="1:9">
      <c r="A1183" s="1" t="s">
        <v>1195</v>
      </c>
      <c r="B1183">
        <f>HYPERLINK("https://www.suredividend.com/sure-analysis-research-database/","NV5 Global Inc")</f>
        <v>0</v>
      </c>
      <c r="C1183">
        <v>-0.083537053852063</v>
      </c>
      <c r="D1183">
        <v>0.031525157232704</v>
      </c>
      <c r="E1183">
        <v>0.110067681895093</v>
      </c>
      <c r="F1183">
        <v>-0.008388754534461001</v>
      </c>
      <c r="G1183">
        <v>0.018236846189663</v>
      </c>
      <c r="H1183">
        <v>0.5060835629017441</v>
      </c>
      <c r="I1183">
        <v>1.48739336492891</v>
      </c>
    </row>
    <row r="1184" spans="1:9">
      <c r="A1184" s="1" t="s">
        <v>1196</v>
      </c>
      <c r="B1184">
        <f>HYPERLINK("https://www.suredividend.com/sure-analysis-research-database/","Nevro Corp")</f>
        <v>0</v>
      </c>
      <c r="C1184">
        <v>-0.127967711301044</v>
      </c>
      <c r="D1184">
        <v>-0.048938373899533</v>
      </c>
      <c r="E1184">
        <v>-0.23669991687448</v>
      </c>
      <c r="F1184">
        <v>-0.07247474747474701</v>
      </c>
      <c r="G1184">
        <v>-0.5351809668438371</v>
      </c>
      <c r="H1184">
        <v>-0.785217238757967</v>
      </c>
      <c r="I1184">
        <v>-0.5283164248105811</v>
      </c>
    </row>
    <row r="1185" spans="1:9">
      <c r="A1185" s="1" t="s">
        <v>1197</v>
      </c>
      <c r="B1185">
        <f>HYPERLINK("https://www.suredividend.com/sure-analysis-research-database/","Invitae Corp")</f>
        <v>0</v>
      </c>
      <c r="C1185">
        <v>-0.097872340425531</v>
      </c>
      <c r="D1185">
        <v>-0.10548523206751</v>
      </c>
      <c r="E1185">
        <v>-0.32051282051282</v>
      </c>
      <c r="F1185">
        <v>0.139784946236559</v>
      </c>
      <c r="G1185">
        <v>-0.831075697211155</v>
      </c>
      <c r="H1185">
        <v>-0.958537062389986</v>
      </c>
      <c r="I1185">
        <v>-0.7690631808278861</v>
      </c>
    </row>
    <row r="1186" spans="1:9">
      <c r="A1186" s="1" t="s">
        <v>1198</v>
      </c>
      <c r="B1186">
        <f>HYPERLINK("https://www.suredividend.com/sure-analysis-NWBI/","Northwest Bancshares Inc")</f>
        <v>0</v>
      </c>
      <c r="C1186">
        <v>-0.023743016759776</v>
      </c>
      <c r="D1186">
        <v>0.048699252858043</v>
      </c>
      <c r="E1186">
        <v>0.11740774192517</v>
      </c>
      <c r="F1186">
        <v>0</v>
      </c>
      <c r="G1186">
        <v>0.006240418043229</v>
      </c>
      <c r="H1186">
        <v>0.132414765133289</v>
      </c>
      <c r="I1186">
        <v>0.100657402668976</v>
      </c>
    </row>
    <row r="1187" spans="1:9">
      <c r="A1187" s="1" t="s">
        <v>1199</v>
      </c>
      <c r="B1187">
        <f>HYPERLINK("https://www.suredividend.com/sure-analysis-NWE/","Northwestern Corp.")</f>
        <v>0</v>
      </c>
      <c r="C1187">
        <v>0.026124305027623</v>
      </c>
      <c r="D1187">
        <v>0.188869518627584</v>
      </c>
      <c r="E1187">
        <v>0.05407676514673</v>
      </c>
      <c r="F1187">
        <v>-0.012807549713515</v>
      </c>
      <c r="G1187">
        <v>0.067847898209923</v>
      </c>
      <c r="H1187">
        <v>0.120215705584824</v>
      </c>
      <c r="I1187">
        <v>0.243235212971412</v>
      </c>
    </row>
    <row r="1188" spans="1:9">
      <c r="A1188" s="1" t="s">
        <v>1200</v>
      </c>
      <c r="B1188">
        <f>HYPERLINK("https://www.suredividend.com/sure-analysis-research-database/","National Western Life Group Inc")</f>
        <v>0</v>
      </c>
      <c r="C1188">
        <v>0.158600823045267</v>
      </c>
      <c r="D1188">
        <v>0.6165307117294071</v>
      </c>
      <c r="E1188">
        <v>0.416636140776015</v>
      </c>
      <c r="F1188">
        <v>0.001921708185053</v>
      </c>
      <c r="G1188">
        <v>0.276254699712509</v>
      </c>
      <c r="H1188">
        <v>0.329723045998102</v>
      </c>
      <c r="I1188">
        <v>-0.155979001702491</v>
      </c>
    </row>
    <row r="1189" spans="1:9">
      <c r="A1189" s="1" t="s">
        <v>1201</v>
      </c>
      <c r="B1189">
        <f>HYPERLINK("https://www.suredividend.com/sure-analysis-NWN/","Northwest Natural Holding Co")</f>
        <v>0</v>
      </c>
      <c r="C1189">
        <v>0.01584323535543</v>
      </c>
      <c r="D1189">
        <v>0.15219467905006</v>
      </c>
      <c r="E1189">
        <v>-0.04563445821688501</v>
      </c>
      <c r="F1189">
        <v>0.023954612313511</v>
      </c>
      <c r="G1189">
        <v>0.017944057989179</v>
      </c>
      <c r="H1189">
        <v>0.199622856101878</v>
      </c>
      <c r="I1189">
        <v>-0.171113307263007</v>
      </c>
    </row>
    <row r="1190" spans="1:9">
      <c r="A1190" s="1" t="s">
        <v>1202</v>
      </c>
      <c r="B1190">
        <f>HYPERLINK("https://www.suredividend.com/sure-analysis-research-database/","Northwest Pipe Co.")</f>
        <v>0</v>
      </c>
      <c r="C1190">
        <v>-0.059284116331096</v>
      </c>
      <c r="D1190">
        <v>0.126968174204355</v>
      </c>
      <c r="E1190">
        <v>0.158402203856749</v>
      </c>
      <c r="F1190">
        <v>-0.001780415430267</v>
      </c>
      <c r="G1190">
        <v>0.107307439104674</v>
      </c>
      <c r="H1190">
        <v>0.114645460569913</v>
      </c>
      <c r="I1190">
        <v>0.7520833333333331</v>
      </c>
    </row>
    <row r="1191" spans="1:9">
      <c r="A1191" s="1" t="s">
        <v>1203</v>
      </c>
      <c r="B1191">
        <f>HYPERLINK("https://www.suredividend.com/sure-analysis-research-database/","Quanex Building Products Corp")</f>
        <v>0</v>
      </c>
      <c r="C1191">
        <v>0.018413256166459</v>
      </c>
      <c r="D1191">
        <v>0.199040767386091</v>
      </c>
      <c r="E1191">
        <v>0.04174925778118301</v>
      </c>
      <c r="F1191">
        <v>-0.001266891891891</v>
      </c>
      <c r="G1191">
        <v>-0.004432695019637001</v>
      </c>
      <c r="H1191">
        <v>-0.042893738946738</v>
      </c>
      <c r="I1191">
        <v>0.122219955111201</v>
      </c>
    </row>
    <row r="1192" spans="1:9">
      <c r="A1192" s="1" t="s">
        <v>1204</v>
      </c>
      <c r="B1192">
        <f>HYPERLINK("https://www.suredividend.com/sure-analysis-research-database/","NextGen Healthcare Inc")</f>
        <v>0</v>
      </c>
      <c r="C1192">
        <v>-0.05260361317747</v>
      </c>
      <c r="D1192">
        <v>-0.00999444752915</v>
      </c>
      <c r="E1192">
        <v>0.015954415954415</v>
      </c>
      <c r="F1192">
        <v>-0.05058572949946701</v>
      </c>
      <c r="G1192">
        <v>-0.019791094007696</v>
      </c>
      <c r="H1192">
        <v>-0.103569632981397</v>
      </c>
      <c r="I1192">
        <v>0.288294797687861</v>
      </c>
    </row>
    <row r="1193" spans="1:9">
      <c r="A1193" s="1" t="s">
        <v>1205</v>
      </c>
      <c r="B1193">
        <f>HYPERLINK("https://www.suredividend.com/sure-analysis-NXRT/","NexPoint Residential Trust Inc")</f>
        <v>0</v>
      </c>
      <c r="C1193">
        <v>-0.09758305992300301</v>
      </c>
      <c r="D1193">
        <v>0.048383028101508</v>
      </c>
      <c r="E1193">
        <v>-0.293371532530243</v>
      </c>
      <c r="F1193">
        <v>-0.04503676470588201</v>
      </c>
      <c r="G1193">
        <v>-0.4610199121758141</v>
      </c>
      <c r="H1193">
        <v>0.055017807867955</v>
      </c>
      <c r="I1193">
        <v>0.7364636474928651</v>
      </c>
    </row>
    <row r="1194" spans="1:9">
      <c r="A1194" s="1" t="s">
        <v>1206</v>
      </c>
      <c r="B1194">
        <f>HYPERLINK("https://www.suredividend.com/sure-analysis-NYMT/","New York Mortgage Trust Inc")</f>
        <v>0</v>
      </c>
      <c r="C1194">
        <v>-0.024867686507648</v>
      </c>
      <c r="D1194">
        <v>0.223227684052566</v>
      </c>
      <c r="E1194">
        <v>0.017397881996974</v>
      </c>
      <c r="F1194">
        <v>0.05078125</v>
      </c>
      <c r="G1194">
        <v>-0.187433922368222</v>
      </c>
      <c r="H1194">
        <v>-0.086184054081598</v>
      </c>
      <c r="I1194">
        <v>-0.223620410990533</v>
      </c>
    </row>
    <row r="1195" spans="1:9">
      <c r="A1195" s="1" t="s">
        <v>1207</v>
      </c>
      <c r="B1195">
        <f>HYPERLINK("https://www.suredividend.com/sure-analysis-research-database/","Oasis Petroleum Inc.")</f>
        <v>0</v>
      </c>
      <c r="C1195">
        <v>-0.244544895321431</v>
      </c>
      <c r="D1195">
        <v>-0.159303198493668</v>
      </c>
      <c r="E1195">
        <v>-0.05232912011403201</v>
      </c>
      <c r="F1195">
        <v>0.018601356892566</v>
      </c>
      <c r="G1195">
        <v>0.231337020209473</v>
      </c>
      <c r="H1195">
        <v>3.221674610470371</v>
      </c>
      <c r="I1195">
        <v>3.221674610470371</v>
      </c>
    </row>
    <row r="1196" spans="1:9">
      <c r="A1196" s="1" t="s">
        <v>1208</v>
      </c>
      <c r="B1196">
        <f>HYPERLINK("https://www.suredividend.com/sure-analysis-research-database/","Outbrain Inc")</f>
        <v>0</v>
      </c>
      <c r="C1196">
        <v>0.223529411764706</v>
      </c>
      <c r="D1196">
        <v>0.024630541871921</v>
      </c>
      <c r="E1196">
        <v>-0.203065134099616</v>
      </c>
      <c r="F1196">
        <v>0.149171270718232</v>
      </c>
      <c r="G1196">
        <v>-0.713498622589531</v>
      </c>
      <c r="H1196">
        <v>-0.792</v>
      </c>
      <c r="I1196">
        <v>-0.792</v>
      </c>
    </row>
    <row r="1197" spans="1:9">
      <c r="A1197" s="1" t="s">
        <v>1209</v>
      </c>
      <c r="B1197">
        <f>HYPERLINK("https://www.suredividend.com/sure-analysis-research-database/","Origin Bancorp Inc")</f>
        <v>0</v>
      </c>
      <c r="C1197">
        <v>-0.06846846846846801</v>
      </c>
      <c r="D1197">
        <v>-0.067542010852481</v>
      </c>
      <c r="E1197">
        <v>-0.067191108545034</v>
      </c>
      <c r="F1197">
        <v>-0.013896457765667</v>
      </c>
      <c r="G1197">
        <v>-0.185716857168571</v>
      </c>
      <c r="H1197">
        <v>0.227761870513359</v>
      </c>
      <c r="I1197">
        <v>0.015845391643625</v>
      </c>
    </row>
    <row r="1198" spans="1:9">
      <c r="A1198" s="1" t="s">
        <v>1210</v>
      </c>
      <c r="B1198">
        <f>HYPERLINK("https://www.suredividend.com/sure-analysis-research-database/","Ortho Clinical Diagnostics Holdings plc")</f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>
      <c r="A1199" s="1" t="s">
        <v>1211</v>
      </c>
      <c r="B1199">
        <f>HYPERLINK("https://www.suredividend.com/sure-analysis-research-database/","OceanFirst Financial Corp.")</f>
        <v>0</v>
      </c>
      <c r="C1199">
        <v>-0.03400447427293</v>
      </c>
      <c r="D1199">
        <v>0.132257540080028</v>
      </c>
      <c r="E1199">
        <v>0.137345386349748</v>
      </c>
      <c r="F1199">
        <v>0.016</v>
      </c>
      <c r="G1199">
        <v>-0.05643473054415601</v>
      </c>
      <c r="H1199">
        <v>0.165263385146804</v>
      </c>
      <c r="I1199">
        <v>-0.07202448239253401</v>
      </c>
    </row>
    <row r="1200" spans="1:9">
      <c r="A1200" s="1" t="s">
        <v>1212</v>
      </c>
      <c r="B1200">
        <f>HYPERLINK("https://www.suredividend.com/sure-analysis-research-database/","Ocugen Inc")</f>
        <v>0</v>
      </c>
      <c r="C1200">
        <v>-0.074074074074074</v>
      </c>
      <c r="D1200">
        <v>-0.251497005988023</v>
      </c>
      <c r="E1200">
        <v>-0.596774193548387</v>
      </c>
      <c r="F1200">
        <v>-0.03846153846153801</v>
      </c>
      <c r="G1200">
        <v>-0.6921182266009851</v>
      </c>
      <c r="H1200">
        <v>-0.535315985130111</v>
      </c>
      <c r="I1200">
        <v>-0.4918699186991861</v>
      </c>
    </row>
    <row r="1201" spans="1:9">
      <c r="A1201" s="1" t="s">
        <v>1213</v>
      </c>
      <c r="B1201">
        <f>HYPERLINK("https://www.suredividend.com/sure-analysis-research-database/","Ocwen Financial Corp.")</f>
        <v>0</v>
      </c>
      <c r="C1201">
        <v>-0.045685279187817</v>
      </c>
      <c r="D1201">
        <v>0.33277731442869</v>
      </c>
      <c r="E1201">
        <v>0.102829537612146</v>
      </c>
      <c r="F1201">
        <v>0.045127534336167</v>
      </c>
      <c r="G1201">
        <v>-0.226150121065375</v>
      </c>
      <c r="H1201">
        <v>0.197901049475262</v>
      </c>
      <c r="I1201">
        <v>9.582781456953642</v>
      </c>
    </row>
    <row r="1202" spans="1:9">
      <c r="A1202" s="1" t="s">
        <v>1214</v>
      </c>
      <c r="B1202">
        <f>HYPERLINK("https://www.suredividend.com/sure-analysis-research-database/","Ocular Therapeutix Inc")</f>
        <v>0</v>
      </c>
      <c r="C1202">
        <v>0.379310344827586</v>
      </c>
      <c r="D1202">
        <v>-0.168591224018475</v>
      </c>
      <c r="E1202">
        <v>-0.198218262806236</v>
      </c>
      <c r="F1202">
        <v>0.281138790035587</v>
      </c>
      <c r="G1202">
        <v>-0.4409937888198751</v>
      </c>
      <c r="H1202">
        <v>-0.8371777476255081</v>
      </c>
      <c r="I1202">
        <v>-0.259259259259259</v>
      </c>
    </row>
    <row r="1203" spans="1:9">
      <c r="A1203" s="1" t="s">
        <v>1215</v>
      </c>
      <c r="B1203">
        <f>HYPERLINK("https://www.suredividend.com/sure-analysis-research-database/","Oncocyte Corporation")</f>
        <v>0</v>
      </c>
      <c r="C1203">
        <v>-0.15552099533437</v>
      </c>
      <c r="D1203">
        <v>-0.47931506849315</v>
      </c>
      <c r="E1203">
        <v>-0.578182221728997</v>
      </c>
      <c r="F1203">
        <v>0.184481146774696</v>
      </c>
      <c r="G1203">
        <v>-0.8154854368932031</v>
      </c>
      <c r="H1203">
        <v>-0.8733000000000001</v>
      </c>
      <c r="I1203">
        <v>-0.9084096385542161</v>
      </c>
    </row>
    <row r="1204" spans="1:9">
      <c r="A1204" s="1" t="s">
        <v>1216</v>
      </c>
      <c r="B1204">
        <f>HYPERLINK("https://www.suredividend.com/sure-analysis-ODC/","Oil-Dri Corp. Of America")</f>
        <v>0</v>
      </c>
      <c r="C1204">
        <v>0.040597014925373</v>
      </c>
      <c r="D1204">
        <v>0.569831848762958</v>
      </c>
      <c r="E1204">
        <v>0.172462271670876</v>
      </c>
      <c r="F1204">
        <v>0.039355992844364</v>
      </c>
      <c r="G1204">
        <v>0.050230924269492</v>
      </c>
      <c r="H1204">
        <v>0.090694058126546</v>
      </c>
      <c r="I1204">
        <v>0.006493412751803001</v>
      </c>
    </row>
    <row r="1205" spans="1:9">
      <c r="A1205" s="1" t="s">
        <v>1217</v>
      </c>
      <c r="B1205">
        <f>HYPERLINK("https://www.suredividend.com/sure-analysis-research-database/","ODP Corporation (The)")</f>
        <v>0</v>
      </c>
      <c r="C1205">
        <v>0.042125729099157</v>
      </c>
      <c r="D1205">
        <v>0.36541183130484</v>
      </c>
      <c r="E1205">
        <v>0.5471456061577931</v>
      </c>
      <c r="F1205">
        <v>0.059288537549407</v>
      </c>
      <c r="G1205">
        <v>0.169454545454545</v>
      </c>
      <c r="H1205">
        <v>0.305194805194805</v>
      </c>
      <c r="I1205">
        <v>0.5828121821415211</v>
      </c>
    </row>
    <row r="1206" spans="1:9">
      <c r="A1206" s="1" t="s">
        <v>1218</v>
      </c>
      <c r="B1206">
        <f>HYPERLINK("https://www.suredividend.com/sure-analysis-research-database/","Orion Engineered Carbons S.A.")</f>
        <v>0</v>
      </c>
      <c r="C1206">
        <v>0.034975407064879</v>
      </c>
      <c r="D1206">
        <v>0.401337842028322</v>
      </c>
      <c r="E1206">
        <v>0.208040021894929</v>
      </c>
      <c r="F1206">
        <v>0.065693430656934</v>
      </c>
      <c r="G1206">
        <v>0.028709560278152</v>
      </c>
      <c r="H1206">
        <v>0.022106141791647</v>
      </c>
      <c r="I1206">
        <v>-0.238924710486639</v>
      </c>
    </row>
    <row r="1207" spans="1:9">
      <c r="A1207" s="1" t="s">
        <v>1219</v>
      </c>
      <c r="B1207">
        <f>HYPERLINK("https://www.suredividend.com/sure-analysis-OFC/","Corporate Office Properties Trust")</f>
        <v>0</v>
      </c>
      <c r="C1207">
        <v>0.010037641154328</v>
      </c>
      <c r="D1207">
        <v>0.160370814151479</v>
      </c>
      <c r="E1207">
        <v>0.016823374306262</v>
      </c>
      <c r="F1207">
        <v>-0.006939090208172001</v>
      </c>
      <c r="G1207">
        <v>-0.07913504470270201</v>
      </c>
      <c r="H1207">
        <v>0.122562370628608</v>
      </c>
      <c r="I1207">
        <v>0.138271735864397</v>
      </c>
    </row>
    <row r="1208" spans="1:9">
      <c r="A1208" s="1" t="s">
        <v>1220</v>
      </c>
      <c r="B1208">
        <f>HYPERLINK("https://www.suredividend.com/sure-analysis-research-database/","OFG Bancorp")</f>
        <v>0</v>
      </c>
      <c r="C1208">
        <v>0.03160740820742301</v>
      </c>
      <c r="D1208">
        <v>0.06792710337303</v>
      </c>
      <c r="E1208">
        <v>0.08714849192488</v>
      </c>
      <c r="F1208">
        <v>0.005079825834542</v>
      </c>
      <c r="G1208">
        <v>-0.032642213817501</v>
      </c>
      <c r="H1208">
        <v>0.501908562505422</v>
      </c>
      <c r="I1208">
        <v>2.501940606075929</v>
      </c>
    </row>
    <row r="1209" spans="1:9">
      <c r="A1209" s="1" t="s">
        <v>1221</v>
      </c>
      <c r="B1209">
        <f>HYPERLINK("https://www.suredividend.com/sure-analysis-research-database/","Orthofix Medical Inc")</f>
        <v>0</v>
      </c>
      <c r="C1209">
        <v>-0.074237954768928</v>
      </c>
      <c r="D1209">
        <v>0.026717557251908</v>
      </c>
      <c r="E1209">
        <v>-0.233618233618233</v>
      </c>
      <c r="F1209">
        <v>-0.0828056502679</v>
      </c>
      <c r="G1209">
        <v>-0.393558776167471</v>
      </c>
      <c r="H1209">
        <v>-0.5682182985553771</v>
      </c>
      <c r="I1209">
        <v>-0.655001832172957</v>
      </c>
    </row>
    <row r="1210" spans="1:9">
      <c r="A1210" s="1" t="s">
        <v>1222</v>
      </c>
      <c r="B1210">
        <f>HYPERLINK("https://www.suredividend.com/sure-analysis-research-database/","Omega Flex Inc")</f>
        <v>0</v>
      </c>
      <c r="C1210">
        <v>-0.11939276921348</v>
      </c>
      <c r="D1210">
        <v>0.01951069507792</v>
      </c>
      <c r="E1210">
        <v>-0.146517752826788</v>
      </c>
      <c r="F1210">
        <v>0.016073724817831</v>
      </c>
      <c r="G1210">
        <v>-0.273373212744859</v>
      </c>
      <c r="H1210">
        <v>-0.364276524291515</v>
      </c>
      <c r="I1210">
        <v>0.569851955113028</v>
      </c>
    </row>
    <row r="1211" spans="1:9">
      <c r="A1211" s="1" t="s">
        <v>1223</v>
      </c>
      <c r="B1211">
        <f>HYPERLINK("https://www.suredividend.com/sure-analysis-OGS/","ONE Gas Inc")</f>
        <v>0</v>
      </c>
      <c r="C1211">
        <v>0.021896864472661</v>
      </c>
      <c r="D1211">
        <v>0.130681362035943</v>
      </c>
      <c r="E1211">
        <v>0.005169223240093001</v>
      </c>
      <c r="F1211">
        <v>0.041600633914421</v>
      </c>
      <c r="G1211">
        <v>0.029893955004328</v>
      </c>
      <c r="H1211">
        <v>0.156534707039069</v>
      </c>
      <c r="I1211">
        <v>0.283206861992216</v>
      </c>
    </row>
    <row r="1212" spans="1:9">
      <c r="A1212" s="1" t="s">
        <v>1224</v>
      </c>
      <c r="B1212">
        <f>HYPERLINK("https://www.suredividend.com/sure-analysis-research-database/","O-I Glass Inc")</f>
        <v>0</v>
      </c>
      <c r="C1212">
        <v>0.197016780609074</v>
      </c>
      <c r="D1212">
        <v>0.338429464906185</v>
      </c>
      <c r="E1212">
        <v>0.4277242401779091</v>
      </c>
      <c r="F1212">
        <v>0.16234158117079</v>
      </c>
      <c r="G1212">
        <v>0.4792626728110601</v>
      </c>
      <c r="H1212">
        <v>0.526148969889065</v>
      </c>
      <c r="I1212">
        <v>-0.126605870695948</v>
      </c>
    </row>
    <row r="1213" spans="1:9">
      <c r="A1213" s="1" t="s">
        <v>1225</v>
      </c>
      <c r="B1213">
        <f>HYPERLINK("https://www.suredividend.com/sure-analysis-research-database/","Oceaneering International, Inc.")</f>
        <v>0</v>
      </c>
      <c r="C1213">
        <v>0.277736411020104</v>
      </c>
      <c r="D1213">
        <v>0.8392282958199351</v>
      </c>
      <c r="E1213">
        <v>0.597765363128491</v>
      </c>
      <c r="F1213">
        <v>-0.018867924528301</v>
      </c>
      <c r="G1213">
        <v>0.336448598130841</v>
      </c>
      <c r="H1213">
        <v>0.6468330134357001</v>
      </c>
      <c r="I1213">
        <v>-0.252938615585546</v>
      </c>
    </row>
    <row r="1214" spans="1:9">
      <c r="A1214" s="1" t="s">
        <v>1226</v>
      </c>
      <c r="B1214">
        <f>HYPERLINK("https://www.suredividend.com/sure-analysis-research-database/","Oil States International, Inc.")</f>
        <v>0</v>
      </c>
      <c r="C1214">
        <v>0.262458471760797</v>
      </c>
      <c r="D1214">
        <v>0.6630196936542661</v>
      </c>
      <c r="E1214">
        <v>0.5478615071283091</v>
      </c>
      <c r="F1214">
        <v>0.018766756032171</v>
      </c>
      <c r="G1214">
        <v>0.294718909710391</v>
      </c>
      <c r="H1214">
        <v>0.206349206349206</v>
      </c>
      <c r="I1214">
        <v>-0.761755485893416</v>
      </c>
    </row>
    <row r="1215" spans="1:9">
      <c r="A1215" s="1" t="s">
        <v>1227</v>
      </c>
      <c r="B1215">
        <f>HYPERLINK("https://www.suredividend.com/sure-analysis-research-database/","Olema Pharmaceuticals Inc")</f>
        <v>0</v>
      </c>
      <c r="C1215">
        <v>0.278688524590164</v>
      </c>
      <c r="D1215">
        <v>0.126353790613718</v>
      </c>
      <c r="E1215">
        <v>-0.354037267080745</v>
      </c>
      <c r="F1215">
        <v>0.273469387755102</v>
      </c>
      <c r="G1215">
        <v>-0.572602739726027</v>
      </c>
      <c r="H1215">
        <v>-0.9260838663823731</v>
      </c>
      <c r="I1215">
        <v>-0.936326530612244</v>
      </c>
    </row>
    <row r="1216" spans="1:9">
      <c r="A1216" s="1" t="s">
        <v>1228</v>
      </c>
      <c r="B1216">
        <f>HYPERLINK("https://www.suredividend.com/sure-analysis-OLP/","One Liberty Properties, Inc.")</f>
        <v>0</v>
      </c>
      <c r="C1216">
        <v>0.001084834020394</v>
      </c>
      <c r="D1216">
        <v>0.127780955314062</v>
      </c>
      <c r="E1216">
        <v>-0.07143547140649101</v>
      </c>
      <c r="F1216">
        <v>0.038253825382538</v>
      </c>
      <c r="G1216">
        <v>-0.291333503306803</v>
      </c>
      <c r="H1216">
        <v>0.330173666366844</v>
      </c>
      <c r="I1216">
        <v>0.304997115090903</v>
      </c>
    </row>
    <row r="1217" spans="1:9">
      <c r="A1217" s="1" t="s">
        <v>1229</v>
      </c>
      <c r="B1217">
        <f>HYPERLINK("https://www.suredividend.com/sure-analysis-research-database/","Outset Medical Inc")</f>
        <v>0</v>
      </c>
      <c r="C1217">
        <v>0.12738044858231</v>
      </c>
      <c r="D1217">
        <v>0.8171896316507501</v>
      </c>
      <c r="E1217">
        <v>0.540775014459225</v>
      </c>
      <c r="F1217">
        <v>0.031758326878388</v>
      </c>
      <c r="G1217">
        <v>-0.325569620253164</v>
      </c>
      <c r="H1217">
        <v>-0.453650533223954</v>
      </c>
      <c r="I1217">
        <v>-0.5609756097560971</v>
      </c>
    </row>
    <row r="1218" spans="1:9">
      <c r="A1218" s="1" t="s">
        <v>1230</v>
      </c>
      <c r="B1218">
        <f>HYPERLINK("https://www.suredividend.com/sure-analysis-research-database/","Omnicell, Inc.")</f>
        <v>0</v>
      </c>
      <c r="C1218">
        <v>0.132519983172065</v>
      </c>
      <c r="D1218">
        <v>-0.3391432429115011</v>
      </c>
      <c r="E1218">
        <v>-0.538171212901012</v>
      </c>
      <c r="F1218">
        <v>0.06783022610075301</v>
      </c>
      <c r="G1218">
        <v>-0.668064118372379</v>
      </c>
      <c r="H1218">
        <v>-0.555298587593953</v>
      </c>
      <c r="I1218">
        <v>0.08112449799196801</v>
      </c>
    </row>
    <row r="1219" spans="1:9">
      <c r="A1219" s="1" t="s">
        <v>1231</v>
      </c>
      <c r="B1219">
        <f>HYPERLINK("https://www.suredividend.com/sure-analysis-research-database/","Omeros Corporation")</f>
        <v>0</v>
      </c>
      <c r="C1219">
        <v>0.393203883495145</v>
      </c>
      <c r="D1219">
        <v>-0.267857142857142</v>
      </c>
      <c r="E1219">
        <v>-0.29656862745098</v>
      </c>
      <c r="F1219">
        <v>0.269911504424778</v>
      </c>
      <c r="G1219">
        <v>-0.542264752791068</v>
      </c>
      <c r="H1219">
        <v>-0.8207370393504061</v>
      </c>
      <c r="I1219">
        <v>-0.851832731027361</v>
      </c>
    </row>
    <row r="1220" spans="1:9">
      <c r="A1220" s="1" t="s">
        <v>1232</v>
      </c>
      <c r="B1220">
        <f>HYPERLINK("https://www.suredividend.com/sure-analysis-research-database/","Omega Therapeutics Inc")</f>
        <v>0</v>
      </c>
      <c r="C1220">
        <v>0.201574803149606</v>
      </c>
      <c r="D1220">
        <v>0.589583333333333</v>
      </c>
      <c r="E1220">
        <v>0.644396551724138</v>
      </c>
      <c r="F1220">
        <v>0.336252189141856</v>
      </c>
      <c r="G1220">
        <v>-0.31875</v>
      </c>
      <c r="H1220">
        <v>-0.5231250000000001</v>
      </c>
      <c r="I1220">
        <v>-0.5231250000000001</v>
      </c>
    </row>
    <row r="1221" spans="1:9">
      <c r="A1221" s="1" t="s">
        <v>1233</v>
      </c>
      <c r="B1221">
        <f>HYPERLINK("https://www.suredividend.com/sure-analysis-research-database/","Owens &amp; Minor, Inc.")</f>
        <v>0</v>
      </c>
      <c r="C1221">
        <v>-0.06185080264400301</v>
      </c>
      <c r="D1221">
        <v>-0.12736056214317</v>
      </c>
      <c r="E1221">
        <v>-0.3923547400611621</v>
      </c>
      <c r="F1221">
        <v>0.017409114183307</v>
      </c>
      <c r="G1221">
        <v>-0.559228039041703</v>
      </c>
      <c r="H1221">
        <v>-0.3477183272438391</v>
      </c>
      <c r="I1221">
        <v>0.05870004209225101</v>
      </c>
    </row>
    <row r="1222" spans="1:9">
      <c r="A1222" s="1" t="s">
        <v>1234</v>
      </c>
      <c r="B1222">
        <f>HYPERLINK("https://www.suredividend.com/sure-analysis-research-database/","Singular Genomics Systems Inc")</f>
        <v>0</v>
      </c>
      <c r="C1222">
        <v>-0.040201005025125</v>
      </c>
      <c r="D1222">
        <v>-0.213991769547325</v>
      </c>
      <c r="E1222">
        <v>-0.596194503171247</v>
      </c>
      <c r="F1222">
        <v>-0.049751243781094</v>
      </c>
      <c r="G1222">
        <v>-0.8002092050209201</v>
      </c>
      <c r="H1222">
        <v>-0.925738724727838</v>
      </c>
      <c r="I1222">
        <v>-0.925738724727838</v>
      </c>
    </row>
    <row r="1223" spans="1:9">
      <c r="A1223" s="1" t="s">
        <v>1235</v>
      </c>
      <c r="B1223">
        <f>HYPERLINK("https://www.suredividend.com/sure-analysis-research-database/","Old National Bancorp")</f>
        <v>0</v>
      </c>
      <c r="C1223">
        <v>0.006666666666666</v>
      </c>
      <c r="D1223">
        <v>0.054665673309741</v>
      </c>
      <c r="E1223">
        <v>0.219085551279636</v>
      </c>
      <c r="F1223">
        <v>0.007786429365962</v>
      </c>
      <c r="G1223">
        <v>-0.05670199695979</v>
      </c>
      <c r="H1223">
        <v>0.08734787931158601</v>
      </c>
      <c r="I1223">
        <v>0.167683771644359</v>
      </c>
    </row>
    <row r="1224" spans="1:9">
      <c r="A1224" s="1" t="s">
        <v>1236</v>
      </c>
      <c r="B1224">
        <f>HYPERLINK("https://www.suredividend.com/sure-analysis-research-database/","Oncorus Inc")</f>
        <v>0</v>
      </c>
      <c r="C1224">
        <v>-0.25675</v>
      </c>
      <c r="D1224">
        <v>-0.628885282736237</v>
      </c>
      <c r="E1224">
        <v>-0.7747727272727271</v>
      </c>
      <c r="F1224">
        <v>0.173707066719305</v>
      </c>
      <c r="G1224">
        <v>-0.9345154185022021</v>
      </c>
      <c r="H1224">
        <v>-0.9916324233042499</v>
      </c>
      <c r="I1224">
        <v>-0.98141875</v>
      </c>
    </row>
    <row r="1225" spans="1:9">
      <c r="A1225" s="1" t="s">
        <v>1237</v>
      </c>
      <c r="B1225">
        <f>HYPERLINK("https://www.suredividend.com/sure-analysis-research-database/","Oncternal Therapeutics Inc")</f>
        <v>0</v>
      </c>
      <c r="C1225">
        <v>-0.02803738317757</v>
      </c>
      <c r="D1225">
        <v>-0.018867924528301</v>
      </c>
      <c r="E1225">
        <v>-0.087719298245613</v>
      </c>
      <c r="F1225">
        <v>0.04</v>
      </c>
      <c r="G1225">
        <v>-0.511737089201877</v>
      </c>
      <c r="H1225">
        <v>-0.779193205944798</v>
      </c>
      <c r="I1225">
        <v>-0.9031657355679701</v>
      </c>
    </row>
    <row r="1226" spans="1:9">
      <c r="A1226" s="1" t="s">
        <v>1238</v>
      </c>
      <c r="B1226">
        <f>HYPERLINK("https://www.suredividend.com/sure-analysis-research-database/","1life Healthcare Inc")</f>
        <v>0</v>
      </c>
      <c r="C1226">
        <v>-0.016786570743405</v>
      </c>
      <c r="D1226">
        <v>-0.034157832744405</v>
      </c>
      <c r="E1226">
        <v>0.419913419913419</v>
      </c>
      <c r="F1226">
        <v>-0.018551765409934</v>
      </c>
      <c r="G1226">
        <v>0.064935064935064</v>
      </c>
      <c r="H1226">
        <v>-0.6162845109967241</v>
      </c>
      <c r="I1226">
        <v>-0.256909832351608</v>
      </c>
    </row>
    <row r="1227" spans="1:9">
      <c r="A1227" s="1" t="s">
        <v>1239</v>
      </c>
      <c r="B1227">
        <f>HYPERLINK("https://www.suredividend.com/sure-analysis-research-database/","Onewater Marine Inc")</f>
        <v>0</v>
      </c>
      <c r="C1227">
        <v>-0.069142125480153</v>
      </c>
      <c r="D1227">
        <v>-0.027099364335898</v>
      </c>
      <c r="E1227">
        <v>-0.150452819164475</v>
      </c>
      <c r="F1227">
        <v>0.016783216783216</v>
      </c>
      <c r="G1227">
        <v>-0.474616079494128</v>
      </c>
      <c r="H1227">
        <v>-0.035940074459373</v>
      </c>
      <c r="I1227">
        <v>1.005171522151353</v>
      </c>
    </row>
    <row r="1228" spans="1:9">
      <c r="A1228" s="1" t="s">
        <v>1240</v>
      </c>
      <c r="B1228">
        <f>HYPERLINK("https://www.suredividend.com/sure-analysis-research-database/","ON24 Inc")</f>
        <v>0</v>
      </c>
      <c r="C1228">
        <v>0.117105263157894</v>
      </c>
      <c r="D1228">
        <v>-0.07314410480349301</v>
      </c>
      <c r="E1228">
        <v>-0.18129218900675</v>
      </c>
      <c r="F1228">
        <v>-0.0162224797219</v>
      </c>
      <c r="G1228">
        <v>-0.4860774818401931</v>
      </c>
      <c r="H1228">
        <v>-0.880118610561988</v>
      </c>
      <c r="I1228">
        <v>-0.880118610561988</v>
      </c>
    </row>
    <row r="1229" spans="1:9">
      <c r="A1229" s="1" t="s">
        <v>1241</v>
      </c>
      <c r="B1229">
        <f>HYPERLINK("https://www.suredividend.com/sure-analysis-research-database/","Onto Innovation Inc.")</f>
        <v>0</v>
      </c>
      <c r="C1229">
        <v>-0.006170408297229001</v>
      </c>
      <c r="D1229">
        <v>0.10769681006731</v>
      </c>
      <c r="E1229">
        <v>0.175648392607547</v>
      </c>
      <c r="F1229">
        <v>0.111763841973858</v>
      </c>
      <c r="G1229">
        <v>-0.204998949800462</v>
      </c>
      <c r="H1229">
        <v>0.459417775207249</v>
      </c>
      <c r="I1229">
        <v>1.948967666536813</v>
      </c>
    </row>
    <row r="1230" spans="1:9">
      <c r="A1230" s="1" t="s">
        <v>1242</v>
      </c>
      <c r="B1230">
        <f>HYPERLINK("https://www.suredividend.com/sure-analysis-research-database/","Ooma Inc")</f>
        <v>0</v>
      </c>
      <c r="C1230">
        <v>-0.05104895104895101</v>
      </c>
      <c r="D1230">
        <v>0.005930318754633001</v>
      </c>
      <c r="E1230">
        <v>0.143218197135636</v>
      </c>
      <c r="F1230">
        <v>-0.00367107195301</v>
      </c>
      <c r="G1230">
        <v>-0.295796574987026</v>
      </c>
      <c r="H1230">
        <v>-0.091700133868808</v>
      </c>
      <c r="I1230">
        <v>0.145147679324894</v>
      </c>
    </row>
    <row r="1231" spans="1:9">
      <c r="A1231" s="1" t="s">
        <v>1243</v>
      </c>
      <c r="B1231">
        <f>HYPERLINK("https://www.suredividend.com/sure-analysis-research-database/","Option Care Health Inc.")</f>
        <v>0</v>
      </c>
      <c r="C1231">
        <v>-0.040026908846283</v>
      </c>
      <c r="D1231">
        <v>-0.118591723285979</v>
      </c>
      <c r="E1231">
        <v>-0.041316761840779</v>
      </c>
      <c r="F1231">
        <v>-0.051512130275839</v>
      </c>
      <c r="G1231">
        <v>0.139776357827476</v>
      </c>
      <c r="H1231">
        <v>0.70083432657926</v>
      </c>
      <c r="I1231">
        <v>8.326797385620914</v>
      </c>
    </row>
    <row r="1232" spans="1:9">
      <c r="A1232" s="1" t="s">
        <v>1244</v>
      </c>
      <c r="B1232">
        <f>HYPERLINK("https://www.suredividend.com/sure-analysis-OPI/","Office Properties Income Trust")</f>
        <v>0</v>
      </c>
      <c r="C1232">
        <v>0.06824512534818901</v>
      </c>
      <c r="D1232">
        <v>0.279474197826395</v>
      </c>
      <c r="E1232">
        <v>-0.188411317799928</v>
      </c>
      <c r="F1232">
        <v>0.149063670411984</v>
      </c>
      <c r="G1232">
        <v>-0.377902143277166</v>
      </c>
      <c r="H1232">
        <v>-0.218730105374668</v>
      </c>
      <c r="I1232">
        <v>-0.7558102515122571</v>
      </c>
    </row>
    <row r="1233" spans="1:9">
      <c r="A1233" s="1" t="s">
        <v>1245</v>
      </c>
      <c r="B1233">
        <f>HYPERLINK("https://www.suredividend.com/sure-analysis-research-database/","Opko Health Inc")</f>
        <v>0</v>
      </c>
      <c r="C1233">
        <v>-0.06766917293233</v>
      </c>
      <c r="D1233">
        <v>-0.291428571428571</v>
      </c>
      <c r="E1233">
        <v>-0.5587188612099641</v>
      </c>
      <c r="F1233">
        <v>-0.008</v>
      </c>
      <c r="G1233">
        <v>-0.7213483146067411</v>
      </c>
      <c r="H1233">
        <v>-0.718181818181818</v>
      </c>
      <c r="I1233">
        <v>-0.751503006012024</v>
      </c>
    </row>
    <row r="1234" spans="1:9">
      <c r="A1234" s="1" t="s">
        <v>1246</v>
      </c>
      <c r="B1234">
        <f>HYPERLINK("https://www.suredividend.com/sure-analysis-research-database/","Oportun Financial Corp")</f>
        <v>0</v>
      </c>
      <c r="C1234">
        <v>0.065693430656934</v>
      </c>
      <c r="D1234">
        <v>0.229473684210526</v>
      </c>
      <c r="E1234">
        <v>-0.337116912599319</v>
      </c>
      <c r="F1234">
        <v>0.059891107078039</v>
      </c>
      <c r="G1234">
        <v>-0.7088733798604181</v>
      </c>
      <c r="H1234">
        <v>-0.679648930334613</v>
      </c>
      <c r="I1234">
        <v>-0.638837353123067</v>
      </c>
    </row>
    <row r="1235" spans="1:9">
      <c r="A1235" s="1" t="s">
        <v>1247</v>
      </c>
      <c r="B1235">
        <f>HYPERLINK("https://www.suredividend.com/sure-analysis-research-database/","OptimizeRx Corp")</f>
        <v>0</v>
      </c>
      <c r="C1235">
        <v>0.016738660907127</v>
      </c>
      <c r="D1235">
        <v>0.252827677977378</v>
      </c>
      <c r="E1235">
        <v>-0.3750414868901421</v>
      </c>
      <c r="F1235">
        <v>0.120833333333333</v>
      </c>
      <c r="G1235">
        <v>-0.6465840840840841</v>
      </c>
      <c r="H1235">
        <v>-0.50395152792413</v>
      </c>
      <c r="I1235">
        <v>13.48461538461538</v>
      </c>
    </row>
    <row r="1236" spans="1:9">
      <c r="A1236" s="1" t="s">
        <v>1248</v>
      </c>
      <c r="B1236">
        <f>HYPERLINK("https://www.suredividend.com/sure-analysis-research-database/","Oppenheimer Holdings Inc")</f>
        <v>0</v>
      </c>
      <c r="C1236">
        <v>0.104688662862813</v>
      </c>
      <c r="D1236">
        <v>0.544994986486064</v>
      </c>
      <c r="E1236">
        <v>0.308116905053567</v>
      </c>
      <c r="F1236">
        <v>0.051972596267422</v>
      </c>
      <c r="G1236">
        <v>-0.08316192805713901</v>
      </c>
      <c r="H1236">
        <v>0.4671433042847961</v>
      </c>
      <c r="I1236">
        <v>0.9073767893704331</v>
      </c>
    </row>
    <row r="1237" spans="1:9">
      <c r="A1237" s="1" t="s">
        <v>1249</v>
      </c>
      <c r="B1237">
        <f>HYPERLINK("https://www.suredividend.com/sure-analysis-research-database/","Ormat Technologies Inc")</f>
        <v>0</v>
      </c>
      <c r="C1237">
        <v>-0.041888977182427</v>
      </c>
      <c r="D1237">
        <v>0.00717312518422</v>
      </c>
      <c r="E1237">
        <v>0.06382844631888801</v>
      </c>
      <c r="F1237">
        <v>-0.024051803885291</v>
      </c>
      <c r="G1237">
        <v>0.117095129121108</v>
      </c>
      <c r="H1237">
        <v>-0.259768598752482</v>
      </c>
      <c r="I1237">
        <v>0.323344486639551</v>
      </c>
    </row>
    <row r="1238" spans="1:9">
      <c r="A1238" s="1" t="s">
        <v>1250</v>
      </c>
      <c r="B1238">
        <f>HYPERLINK("https://www.suredividend.com/sure-analysis-ORC/","Orchid Island Capital Inc")</f>
        <v>0</v>
      </c>
      <c r="C1238">
        <v>0.08474706896717801</v>
      </c>
      <c r="D1238">
        <v>0.379327241100522</v>
      </c>
      <c r="E1238">
        <v>-0.101285018756485</v>
      </c>
      <c r="F1238">
        <v>0.072380952380952</v>
      </c>
      <c r="G1238">
        <v>-0.391621011227455</v>
      </c>
      <c r="H1238">
        <v>-0.380709599001215</v>
      </c>
      <c r="I1238">
        <v>-0.415064935064935</v>
      </c>
    </row>
    <row r="1239" spans="1:9">
      <c r="A1239" s="1" t="s">
        <v>1251</v>
      </c>
      <c r="B1239">
        <f>HYPERLINK("https://www.suredividend.com/sure-analysis-research-database/","Organogenesis Holdings Inc")</f>
        <v>0</v>
      </c>
      <c r="C1239">
        <v>0.018867924528301</v>
      </c>
      <c r="D1239">
        <v>-0.15625</v>
      </c>
      <c r="E1239">
        <v>-0.470588235294117</v>
      </c>
      <c r="F1239">
        <v>0.003717472118959</v>
      </c>
      <c r="G1239">
        <v>-0.6715328467153281</v>
      </c>
      <c r="H1239">
        <v>-0.647058823529411</v>
      </c>
      <c r="I1239">
        <v>-0.728370221327967</v>
      </c>
    </row>
    <row r="1240" spans="1:9">
      <c r="A1240" s="1" t="s">
        <v>1252</v>
      </c>
      <c r="B1240">
        <f>HYPERLINK("https://www.suredividend.com/sure-analysis-research-database/","ORIC Pharmaceuticals Inc")</f>
        <v>0</v>
      </c>
      <c r="C1240">
        <v>0.7672955974842761</v>
      </c>
      <c r="D1240">
        <v>0.9513888888888891</v>
      </c>
      <c r="E1240">
        <v>0.137651821862348</v>
      </c>
      <c r="F1240">
        <v>-0.045840407470288</v>
      </c>
      <c r="G1240">
        <v>-0.6078157711095601</v>
      </c>
      <c r="H1240">
        <v>-0.8202175303902751</v>
      </c>
      <c r="I1240">
        <v>-0.781916957702755</v>
      </c>
    </row>
    <row r="1241" spans="1:9">
      <c r="A1241" s="1" t="s">
        <v>1253</v>
      </c>
      <c r="B1241">
        <f>HYPERLINK("https://www.suredividend.com/sure-analysis-research-database/","Oramed Pharmaceuticals, Inc")</f>
        <v>0</v>
      </c>
      <c r="C1241">
        <v>0.163215590742996</v>
      </c>
      <c r="D1241">
        <v>0.5733113673805601</v>
      </c>
      <c r="E1241">
        <v>0.164634146341463</v>
      </c>
      <c r="F1241">
        <v>-0.206151288445552</v>
      </c>
      <c r="G1241">
        <v>-0.22859450726979</v>
      </c>
      <c r="H1241">
        <v>1.122222222222222</v>
      </c>
      <c r="I1241">
        <v>0.068232662192393</v>
      </c>
    </row>
    <row r="1242" spans="1:9">
      <c r="A1242" s="1" t="s">
        <v>1254</v>
      </c>
      <c r="B1242">
        <f>HYPERLINK("https://www.suredividend.com/sure-analysis-research-database/","Orrstown Financial Services, Inc.")</f>
        <v>0</v>
      </c>
      <c r="C1242">
        <v>-0.105427567356501</v>
      </c>
      <c r="D1242">
        <v>-0.014958358235266</v>
      </c>
      <c r="E1242">
        <v>-0.030038739177374</v>
      </c>
      <c r="F1242">
        <v>-0.010794473229706</v>
      </c>
      <c r="G1242">
        <v>-0.07015820704098401</v>
      </c>
      <c r="H1242">
        <v>0.323283082077052</v>
      </c>
      <c r="I1242">
        <v>0.09256521531785</v>
      </c>
    </row>
    <row r="1243" spans="1:9">
      <c r="A1243" s="1" t="s">
        <v>1255</v>
      </c>
      <c r="B1243">
        <f>HYPERLINK("https://www.suredividend.com/sure-analysis-research-database/","Old Second Bancorporation Inc.")</f>
        <v>0</v>
      </c>
      <c r="C1243">
        <v>-0.016656751933372</v>
      </c>
      <c r="D1243">
        <v>0.250917566575603</v>
      </c>
      <c r="E1243">
        <v>0.162234753139369</v>
      </c>
      <c r="F1243">
        <v>0.030548628428927</v>
      </c>
      <c r="G1243">
        <v>0.232855256975365</v>
      </c>
      <c r="H1243">
        <v>0.5580229226361031</v>
      </c>
      <c r="I1243">
        <v>0.179004728857442</v>
      </c>
    </row>
    <row r="1244" spans="1:9">
      <c r="A1244" s="1" t="s">
        <v>1256</v>
      </c>
      <c r="B1244">
        <f>HYPERLINK("https://www.suredividend.com/sure-analysis-research-database/","OSI Systems, Inc.")</f>
        <v>0</v>
      </c>
      <c r="C1244">
        <v>-0.044855191900164</v>
      </c>
      <c r="D1244">
        <v>0.130731707317073</v>
      </c>
      <c r="E1244">
        <v>-0.077439163065726</v>
      </c>
      <c r="F1244">
        <v>0.020246478873239</v>
      </c>
      <c r="G1244">
        <v>-0.110904109589041</v>
      </c>
      <c r="H1244">
        <v>-0.152335179187127</v>
      </c>
      <c r="I1244">
        <v>0.252392713800555</v>
      </c>
    </row>
    <row r="1245" spans="1:9">
      <c r="A1245" s="1" t="s">
        <v>1257</v>
      </c>
      <c r="B1245">
        <f>HYPERLINK("https://www.suredividend.com/sure-analysis-research-database/","OneSpan Inc")</f>
        <v>0</v>
      </c>
      <c r="C1245">
        <v>-0.038803556992724</v>
      </c>
      <c r="D1245">
        <v>0.3729792147806</v>
      </c>
      <c r="E1245">
        <v>-0.005852842809364001</v>
      </c>
      <c r="F1245">
        <v>0.062555853440572</v>
      </c>
      <c r="G1245">
        <v>-0.277203647416413</v>
      </c>
      <c r="H1245">
        <v>-0.494687632809179</v>
      </c>
      <c r="I1245">
        <v>-0.171428571428571</v>
      </c>
    </row>
    <row r="1246" spans="1:9">
      <c r="A1246" s="1" t="s">
        <v>1258</v>
      </c>
      <c r="B1246">
        <f>HYPERLINK("https://www.suredividend.com/sure-analysis-research-database/","Overstock.com Inc")</f>
        <v>0</v>
      </c>
      <c r="C1246">
        <v>-0.176265270506108</v>
      </c>
      <c r="D1246">
        <v>-0.271604938271605</v>
      </c>
      <c r="E1246">
        <v>-0.307410124724871</v>
      </c>
      <c r="F1246">
        <v>-0.024793388429752</v>
      </c>
      <c r="G1246">
        <v>-0.6464419475655431</v>
      </c>
      <c r="H1246">
        <v>-0.6480238627889631</v>
      </c>
      <c r="I1246">
        <v>-0.7673444239063461</v>
      </c>
    </row>
    <row r="1247" spans="1:9">
      <c r="A1247" s="1" t="s">
        <v>1259</v>
      </c>
      <c r="B1247">
        <f>HYPERLINK("https://www.suredividend.com/sure-analysis-research-database/","Orasure Technologies Inc.")</f>
        <v>0</v>
      </c>
      <c r="C1247">
        <v>-0.102119460500963</v>
      </c>
      <c r="D1247">
        <v>0.207253886010362</v>
      </c>
      <c r="E1247">
        <v>0.543046357615894</v>
      </c>
      <c r="F1247">
        <v>-0.033195020746887</v>
      </c>
      <c r="G1247">
        <v>-0.413098236775818</v>
      </c>
      <c r="H1247">
        <v>-0.6084033613445371</v>
      </c>
      <c r="I1247">
        <v>-0.7600411946446961</v>
      </c>
    </row>
    <row r="1248" spans="1:9">
      <c r="A1248" s="1" t="s">
        <v>1260</v>
      </c>
      <c r="B1248">
        <f>HYPERLINK("https://www.suredividend.com/sure-analysis-research-database/","OneSpaWorld Holdings Limited")</f>
        <v>0</v>
      </c>
      <c r="C1248">
        <v>-0.069164265129683</v>
      </c>
      <c r="D1248">
        <v>0.19041769041769</v>
      </c>
      <c r="E1248">
        <v>0.340248962655601</v>
      </c>
      <c r="F1248">
        <v>0.038585209003215</v>
      </c>
      <c r="G1248">
        <v>-0.052785923753665</v>
      </c>
      <c r="H1248">
        <v>0</v>
      </c>
      <c r="I1248">
        <v>-0.20774431971482</v>
      </c>
    </row>
    <row r="1249" spans="1:9">
      <c r="A1249" s="1" t="s">
        <v>1261</v>
      </c>
      <c r="B1249">
        <f>HYPERLINK("https://www.suredividend.com/sure-analysis-research-database/","Outlook Therapeutics Inc")</f>
        <v>0</v>
      </c>
      <c r="C1249">
        <v>0.05996365838885501</v>
      </c>
      <c r="D1249">
        <v>-0.166666666666666</v>
      </c>
      <c r="E1249">
        <v>-0.153225806451612</v>
      </c>
      <c r="F1249">
        <v>-0.027777777777777</v>
      </c>
      <c r="G1249">
        <v>-0.166666666666666</v>
      </c>
      <c r="H1249">
        <v>-0.1796875</v>
      </c>
      <c r="I1249">
        <v>-0.10941475826972</v>
      </c>
    </row>
    <row r="1250" spans="1:9">
      <c r="A1250" s="1" t="s">
        <v>1262</v>
      </c>
      <c r="B1250">
        <f>HYPERLINK("https://www.suredividend.com/sure-analysis-research-database/","Ontrak Inc")</f>
        <v>0</v>
      </c>
      <c r="C1250">
        <v>0.037344398340249</v>
      </c>
      <c r="D1250">
        <v>-0.130623777439687</v>
      </c>
      <c r="E1250">
        <v>-0.694656488549618</v>
      </c>
      <c r="F1250">
        <v>0.08813928182807401</v>
      </c>
      <c r="G1250">
        <v>-0.9139784946236561</v>
      </c>
      <c r="H1250">
        <v>-0.993577392421323</v>
      </c>
      <c r="I1250">
        <v>-0.897172236503856</v>
      </c>
    </row>
    <row r="1251" spans="1:9">
      <c r="A1251" s="1" t="s">
        <v>1263</v>
      </c>
      <c r="B1251">
        <f>HYPERLINK("https://www.suredividend.com/sure-analysis-OTTR/","Otter Tail Corporation")</f>
        <v>0</v>
      </c>
      <c r="C1251">
        <v>0.024484971293482</v>
      </c>
      <c r="D1251">
        <v>-0.010041543336585</v>
      </c>
      <c r="E1251">
        <v>-0.07570053733380601</v>
      </c>
      <c r="F1251">
        <v>0.03338443195367</v>
      </c>
      <c r="G1251">
        <v>-0.08127122866155101</v>
      </c>
      <c r="H1251">
        <v>0.5050818529351201</v>
      </c>
      <c r="I1251">
        <v>0.711975078022269</v>
      </c>
    </row>
    <row r="1252" spans="1:9">
      <c r="A1252" s="1" t="s">
        <v>1264</v>
      </c>
      <c r="B1252">
        <f>HYPERLINK("https://www.suredividend.com/sure-analysis-research-database/","Ouster Inc")</f>
        <v>0</v>
      </c>
      <c r="C1252">
        <v>-0.126050420168067</v>
      </c>
      <c r="D1252">
        <v>0.084349911375247</v>
      </c>
      <c r="E1252">
        <v>-0.409090909090909</v>
      </c>
      <c r="F1252">
        <v>0.205098493626882</v>
      </c>
      <c r="G1252">
        <v>-0.7729257641921391</v>
      </c>
      <c r="H1252">
        <v>-0.9219804951237801</v>
      </c>
      <c r="I1252">
        <v>-0.8927835051546391</v>
      </c>
    </row>
    <row r="1253" spans="1:9">
      <c r="A1253" s="1" t="s">
        <v>1265</v>
      </c>
      <c r="B1253">
        <f>HYPERLINK("https://www.suredividend.com/sure-analysis-research-database/","Outfront Media Inc")</f>
        <v>0</v>
      </c>
      <c r="C1253">
        <v>0.05604719764011801</v>
      </c>
      <c r="D1253">
        <v>0.141690850527792</v>
      </c>
      <c r="E1253">
        <v>0.10257657979513</v>
      </c>
      <c r="F1253">
        <v>0.079613992762364</v>
      </c>
      <c r="G1253">
        <v>-0.27540338576876</v>
      </c>
      <c r="H1253">
        <v>-0.027173913043478</v>
      </c>
      <c r="I1253">
        <v>-0.01826358799978</v>
      </c>
    </row>
    <row r="1254" spans="1:9">
      <c r="A1254" s="1" t="s">
        <v>1266</v>
      </c>
      <c r="B1254">
        <f>HYPERLINK("https://www.suredividend.com/sure-analysis-research-database/","Ovintiv Inc")</f>
        <v>0</v>
      </c>
      <c r="C1254">
        <v>0.07335103247376301</v>
      </c>
      <c r="D1254">
        <v>-0.097782704698799</v>
      </c>
      <c r="E1254">
        <v>0.169452192869365</v>
      </c>
      <c r="F1254">
        <v>-0.016170380595543</v>
      </c>
      <c r="G1254">
        <v>0.344196836328071</v>
      </c>
      <c r="H1254">
        <v>2.025158109837069</v>
      </c>
      <c r="I1254">
        <v>-0.252739878886643</v>
      </c>
    </row>
    <row r="1255" spans="1:9">
      <c r="A1255" s="1" t="s">
        <v>1267</v>
      </c>
      <c r="B1255">
        <f>HYPERLINK("https://www.suredividend.com/sure-analysis-research-database/","Oxford Industries, Inc.")</f>
        <v>0</v>
      </c>
      <c r="C1255">
        <v>0.017162698412698</v>
      </c>
      <c r="D1255">
        <v>0.152484760741106</v>
      </c>
      <c r="E1255">
        <v>0.173437038630833</v>
      </c>
      <c r="F1255">
        <v>0.10034342133505</v>
      </c>
      <c r="G1255">
        <v>0.07201072324390601</v>
      </c>
      <c r="H1255">
        <v>0.5577071790049081</v>
      </c>
      <c r="I1255">
        <v>0.4379882470091581</v>
      </c>
    </row>
    <row r="1256" spans="1:9">
      <c r="A1256" s="1" t="s">
        <v>1268</v>
      </c>
      <c r="B1256">
        <f>HYPERLINK("https://www.suredividend.com/sure-analysis-research-database/","Oyster Point Pharma Inc")</f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>
      <c r="A1257" s="1" t="s">
        <v>1269</v>
      </c>
      <c r="B1257">
        <f>HYPERLINK("https://www.suredividend.com/sure-analysis-research-database/","Pacific Biosciences of California Inc")</f>
        <v>0</v>
      </c>
      <c r="C1257">
        <v>0.037280701754386</v>
      </c>
      <c r="D1257">
        <v>0.548281505728314</v>
      </c>
      <c r="E1257">
        <v>0.735779816513761</v>
      </c>
      <c r="F1257">
        <v>0.156479217603912</v>
      </c>
      <c r="G1257">
        <v>-0.435560859188544</v>
      </c>
      <c r="H1257">
        <v>-0.7422343324250681</v>
      </c>
      <c r="I1257">
        <v>2.465201465201465</v>
      </c>
    </row>
    <row r="1258" spans="1:9">
      <c r="A1258" s="1" t="s">
        <v>1270</v>
      </c>
      <c r="B1258">
        <f>HYPERLINK("https://www.suredividend.com/sure-analysis-research-database/","Ranpak Holdings Corp")</f>
        <v>0</v>
      </c>
      <c r="C1258">
        <v>0.164485981308411</v>
      </c>
      <c r="D1258">
        <v>0.9228395061728391</v>
      </c>
      <c r="E1258">
        <v>-0.079763663220088</v>
      </c>
      <c r="F1258">
        <v>0.079722703639514</v>
      </c>
      <c r="G1258">
        <v>-0.8220000000000001</v>
      </c>
      <c r="H1258">
        <v>-0.6182598039215681</v>
      </c>
      <c r="I1258">
        <v>-0.347643979057591</v>
      </c>
    </row>
    <row r="1259" spans="1:9">
      <c r="A1259" s="1" t="s">
        <v>1271</v>
      </c>
      <c r="B1259">
        <f>HYPERLINK("https://www.suredividend.com/sure-analysis-research-database/","Phibro Animal Health Corp.")</f>
        <v>0</v>
      </c>
      <c r="C1259">
        <v>0.07801418439716301</v>
      </c>
      <c r="D1259">
        <v>0.074415864912625</v>
      </c>
      <c r="E1259">
        <v>-0.293246056798632</v>
      </c>
      <c r="F1259">
        <v>0.020134228187919</v>
      </c>
      <c r="G1259">
        <v>-0.314488447025691</v>
      </c>
      <c r="H1259">
        <v>-0.324267586084259</v>
      </c>
      <c r="I1259">
        <v>-0.583735245879192</v>
      </c>
    </row>
    <row r="1260" spans="1:9">
      <c r="A1260" s="1" t="s">
        <v>1272</v>
      </c>
      <c r="B1260">
        <f>HYPERLINK("https://www.suredividend.com/sure-analysis-research-database/","Par Technology Corp.")</f>
        <v>0</v>
      </c>
      <c r="C1260">
        <v>0.151488616462346</v>
      </c>
      <c r="D1260">
        <v>-0.120107059217129</v>
      </c>
      <c r="E1260">
        <v>-0.349975284231339</v>
      </c>
      <c r="F1260">
        <v>0.008822401227464001</v>
      </c>
      <c r="G1260">
        <v>-0.443974630021141</v>
      </c>
      <c r="H1260">
        <v>-0.5765577201738851</v>
      </c>
      <c r="I1260">
        <v>1.961711711711711</v>
      </c>
    </row>
    <row r="1261" spans="1:9">
      <c r="A1261" s="1" t="s">
        <v>1273</v>
      </c>
      <c r="B1261">
        <f>HYPERLINK("https://www.suredividend.com/sure-analysis-research-database/","Par Pacific Holdings Inc")</f>
        <v>0</v>
      </c>
      <c r="C1261">
        <v>0.155110426296867</v>
      </c>
      <c r="D1261">
        <v>0.210441334768568</v>
      </c>
      <c r="E1261">
        <v>0.441666666666666</v>
      </c>
      <c r="F1261">
        <v>-0.03268817204301</v>
      </c>
      <c r="G1261">
        <v>0.272058823529411</v>
      </c>
      <c r="H1261">
        <v>0.623826714801444</v>
      </c>
      <c r="I1261">
        <v>0.184931506849314</v>
      </c>
    </row>
    <row r="1262" spans="1:9">
      <c r="A1262" s="1" t="s">
        <v>1274</v>
      </c>
      <c r="B1262">
        <f>HYPERLINK("https://www.suredividend.com/sure-analysis-research-database/","Passage Bio Inc")</f>
        <v>0</v>
      </c>
      <c r="C1262">
        <v>0.719626168224299</v>
      </c>
      <c r="D1262">
        <v>0.362962962962962</v>
      </c>
      <c r="E1262">
        <v>-0.255060728744939</v>
      </c>
      <c r="F1262">
        <v>0.333333333333333</v>
      </c>
      <c r="G1262">
        <v>-0.6725978647686831</v>
      </c>
      <c r="H1262">
        <v>-0.9328956965718451</v>
      </c>
      <c r="I1262">
        <v>-0.9171171171171171</v>
      </c>
    </row>
    <row r="1263" spans="1:9">
      <c r="A1263" s="1" t="s">
        <v>1275</v>
      </c>
      <c r="B1263">
        <f>HYPERLINK("https://www.suredividend.com/sure-analysis-research-database/","Patrick Industries, Inc.")</f>
        <v>0</v>
      </c>
      <c r="C1263">
        <v>0.145061181060471</v>
      </c>
      <c r="D1263">
        <v>0.481983015836584</v>
      </c>
      <c r="E1263">
        <v>0.167474876779599</v>
      </c>
      <c r="F1263">
        <v>0.06551155115511501</v>
      </c>
      <c r="G1263">
        <v>-0.189335435846766</v>
      </c>
      <c r="H1263">
        <v>-0.04344425251768001</v>
      </c>
      <c r="I1263">
        <v>0.019024848298337</v>
      </c>
    </row>
    <row r="1264" spans="1:9">
      <c r="A1264" s="1" t="s">
        <v>1276</v>
      </c>
      <c r="B1264">
        <f>HYPERLINK("https://www.suredividend.com/sure-analysis-research-database/","PAVmed Inc")</f>
        <v>0</v>
      </c>
      <c r="C1264">
        <v>-0.085746827204686</v>
      </c>
      <c r="D1264">
        <v>-0.393065456902138</v>
      </c>
      <c r="E1264">
        <v>-0.474859813084112</v>
      </c>
      <c r="F1264">
        <v>0.170625</v>
      </c>
      <c r="G1264">
        <v>-0.7272330097087371</v>
      </c>
      <c r="H1264">
        <v>-0.7361971830985911</v>
      </c>
      <c r="I1264">
        <v>-0.79492700729927</v>
      </c>
    </row>
    <row r="1265" spans="1:9">
      <c r="A1265" s="1" t="s">
        <v>1277</v>
      </c>
      <c r="B1265">
        <f>HYPERLINK("https://www.suredividend.com/sure-analysis-research-database/","Paya Holdings Inc")</f>
        <v>0</v>
      </c>
      <c r="C1265">
        <v>0.180267965895249</v>
      </c>
      <c r="D1265">
        <v>0.636824324324324</v>
      </c>
      <c r="E1265">
        <v>0.45933734939759</v>
      </c>
      <c r="F1265">
        <v>0.23125794155019</v>
      </c>
      <c r="G1265">
        <v>0.474885844748858</v>
      </c>
      <c r="H1265">
        <v>-0.275784753363228</v>
      </c>
      <c r="I1265">
        <v>-0.202469135802469</v>
      </c>
    </row>
    <row r="1266" spans="1:9">
      <c r="A1266" s="1" t="s">
        <v>1278</v>
      </c>
      <c r="B1266">
        <f>HYPERLINK("https://www.suredividend.com/sure-analysis-research-database/","PBF Energy Inc")</f>
        <v>0</v>
      </c>
      <c r="C1266">
        <v>0.157910906298003</v>
      </c>
      <c r="D1266">
        <v>-0.026626378450969</v>
      </c>
      <c r="E1266">
        <v>0.32890482587433</v>
      </c>
      <c r="F1266">
        <v>-0.075772437469347</v>
      </c>
      <c r="G1266">
        <v>1.332518488721106</v>
      </c>
      <c r="H1266">
        <v>4.778104830673473</v>
      </c>
      <c r="I1266">
        <v>0.17837959518018</v>
      </c>
    </row>
    <row r="1267" spans="1:9">
      <c r="A1267" s="1" t="s">
        <v>1279</v>
      </c>
      <c r="B1267">
        <f>HYPERLINK("https://www.suredividend.com/sure-analysis-research-database/","Pioneer Bancorp Inc")</f>
        <v>0</v>
      </c>
      <c r="C1267">
        <v>-0.023255813953488</v>
      </c>
      <c r="D1267">
        <v>0.10958904109589</v>
      </c>
      <c r="E1267">
        <v>0.164271047227926</v>
      </c>
      <c r="F1267">
        <v>-0.005263157894736001</v>
      </c>
      <c r="G1267">
        <v>-0.02493551160791</v>
      </c>
      <c r="H1267">
        <v>0.04516129032258</v>
      </c>
      <c r="I1267">
        <v>-0.231186440677966</v>
      </c>
    </row>
    <row r="1268" spans="1:9">
      <c r="A1268" s="1" t="s">
        <v>1280</v>
      </c>
      <c r="B1268">
        <f>HYPERLINK("https://www.suredividend.com/sure-analysis-research-database/","Prestige Consumer Healthcare Inc")</f>
        <v>0</v>
      </c>
      <c r="C1268">
        <v>0.08698506482849101</v>
      </c>
      <c r="D1268">
        <v>0.331256281407035</v>
      </c>
      <c r="E1268">
        <v>0.128856314982103</v>
      </c>
      <c r="F1268">
        <v>0.05798722044728401</v>
      </c>
      <c r="G1268">
        <v>0.09797745358090101</v>
      </c>
      <c r="H1268">
        <v>0.7846941525195361</v>
      </c>
      <c r="I1268">
        <v>0.510720802919707</v>
      </c>
    </row>
    <row r="1269" spans="1:9">
      <c r="A1269" s="1" t="s">
        <v>1281</v>
      </c>
      <c r="B1269">
        <f>HYPERLINK("https://www.suredividend.com/sure-analysis-research-database/","Pitney Bowes, Inc.")</f>
        <v>0</v>
      </c>
      <c r="C1269">
        <v>0.216710182767624</v>
      </c>
      <c r="D1269">
        <v>0.7851670242108491</v>
      </c>
      <c r="E1269">
        <v>0.314787122986203</v>
      </c>
      <c r="F1269">
        <v>0.226315789473684</v>
      </c>
      <c r="G1269">
        <v>-0.261828953412853</v>
      </c>
      <c r="H1269">
        <v>-0.27282941139754</v>
      </c>
      <c r="I1269">
        <v>-0.478811331939023</v>
      </c>
    </row>
    <row r="1270" spans="1:9">
      <c r="A1270" s="1" t="s">
        <v>1282</v>
      </c>
      <c r="B1270">
        <f>HYPERLINK("https://www.suredividend.com/sure-analysis-research-database/","Puma Biotechnology Inc")</f>
        <v>0</v>
      </c>
      <c r="C1270">
        <v>0.047727272727272</v>
      </c>
      <c r="D1270">
        <v>0.9451476793248941</v>
      </c>
      <c r="E1270">
        <v>0.573378839590443</v>
      </c>
      <c r="F1270">
        <v>0.08983451536643</v>
      </c>
      <c r="G1270">
        <v>0.652329749103942</v>
      </c>
      <c r="H1270">
        <v>-0.5952589991220371</v>
      </c>
      <c r="I1270">
        <v>-0.950852878464818</v>
      </c>
    </row>
    <row r="1271" spans="1:9">
      <c r="A1271" s="1" t="s">
        <v>1283</v>
      </c>
      <c r="B1271">
        <f>HYPERLINK("https://www.suredividend.com/sure-analysis-research-database/","PotlatchDeltic Corp")</f>
        <v>0</v>
      </c>
      <c r="C1271">
        <v>-0.025770094040857</v>
      </c>
      <c r="D1271">
        <v>0.07644298200913301</v>
      </c>
      <c r="E1271">
        <v>0.014411225297165</v>
      </c>
      <c r="F1271">
        <v>0.008411002500568001</v>
      </c>
      <c r="G1271">
        <v>-0.168950678459224</v>
      </c>
      <c r="H1271">
        <v>0.018821556941238</v>
      </c>
      <c r="I1271">
        <v>0.257537143553704</v>
      </c>
    </row>
    <row r="1272" spans="1:9">
      <c r="A1272" s="1" t="s">
        <v>1284</v>
      </c>
      <c r="B1272">
        <f>HYPERLINK("https://www.suredividend.com/sure-analysis-research-database/","Pacira BioSciences Inc")</f>
        <v>0</v>
      </c>
      <c r="C1272">
        <v>-0.196946564885496</v>
      </c>
      <c r="D1272">
        <v>-0.346119694548037</v>
      </c>
      <c r="E1272">
        <v>-0.353694927154642</v>
      </c>
      <c r="F1272">
        <v>-0.046361046361046</v>
      </c>
      <c r="G1272">
        <v>-0.38664001332667</v>
      </c>
      <c r="H1272">
        <v>-0.4750499001996</v>
      </c>
      <c r="I1272">
        <v>-0.138713450292397</v>
      </c>
    </row>
    <row r="1273" spans="1:9">
      <c r="A1273" s="1" t="s">
        <v>1285</v>
      </c>
      <c r="B1273">
        <f>HYPERLINK("https://www.suredividend.com/sure-analysis-research-database/","PCSB Financial Corp")</f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</row>
    <row r="1274" spans="1:9">
      <c r="A1274" s="1" t="s">
        <v>1286</v>
      </c>
      <c r="B1274">
        <f>HYPERLINK("https://www.suredividend.com/sure-analysis-research-database/","PureCycle Technologies Inc")</f>
        <v>0</v>
      </c>
      <c r="C1274">
        <v>0.079545454545454</v>
      </c>
      <c r="D1274">
        <v>-0.223130841121495</v>
      </c>
      <c r="E1274">
        <v>-0.058073654390934</v>
      </c>
      <c r="F1274">
        <v>-0.016272189349112</v>
      </c>
      <c r="G1274">
        <v>-0.231213872832369</v>
      </c>
      <c r="H1274">
        <v>-0.5709677419354831</v>
      </c>
      <c r="I1274">
        <v>-0.3480392156862741</v>
      </c>
    </row>
    <row r="1275" spans="1:9">
      <c r="A1275" s="1" t="s">
        <v>1287</v>
      </c>
      <c r="B1275">
        <f>HYPERLINK("https://www.suredividend.com/sure-analysis-research-database/","Vaxcyte Inc")</f>
        <v>0</v>
      </c>
      <c r="C1275">
        <v>0.083274357159707</v>
      </c>
      <c r="D1275">
        <v>0.9069767441860461</v>
      </c>
      <c r="E1275">
        <v>0.925366876310272</v>
      </c>
      <c r="F1275">
        <v>-0.04233576642335701</v>
      </c>
      <c r="G1275">
        <v>0.930222782681799</v>
      </c>
      <c r="H1275">
        <v>0.7520030522701261</v>
      </c>
      <c r="I1275">
        <v>0.7560229445506691</v>
      </c>
    </row>
    <row r="1276" spans="1:9">
      <c r="A1276" s="1" t="s">
        <v>1288</v>
      </c>
      <c r="B1276">
        <f>HYPERLINK("https://www.suredividend.com/sure-analysis-research-database/","Pure Cycle Corp.")</f>
        <v>0</v>
      </c>
      <c r="C1276">
        <v>-0.004761904761904001</v>
      </c>
      <c r="D1276">
        <v>0.312814070351758</v>
      </c>
      <c r="E1276">
        <v>-0.018779342723004</v>
      </c>
      <c r="F1276">
        <v>-0.002862595419847</v>
      </c>
      <c r="G1276">
        <v>-0.253571428571428</v>
      </c>
      <c r="H1276">
        <v>-0.11063829787234</v>
      </c>
      <c r="I1276">
        <v>0.222222222222222</v>
      </c>
    </row>
    <row r="1277" spans="1:9">
      <c r="A1277" s="1" t="s">
        <v>1289</v>
      </c>
      <c r="B1277">
        <f>HYPERLINK("https://www.suredividend.com/sure-analysis-research-database/","Pagerduty Inc")</f>
        <v>0</v>
      </c>
      <c r="C1277">
        <v>0.036600757257046</v>
      </c>
      <c r="D1277">
        <v>0.072703526338702</v>
      </c>
      <c r="E1277">
        <v>-0.11430625449317</v>
      </c>
      <c r="F1277">
        <v>-0.07228915662650501</v>
      </c>
      <c r="G1277">
        <v>-0.22782826700094</v>
      </c>
      <c r="H1277">
        <v>-0.4465408805031441</v>
      </c>
      <c r="I1277">
        <v>-0.355816993464052</v>
      </c>
    </row>
    <row r="1278" spans="1:9">
      <c r="A1278" s="1" t="s">
        <v>1290</v>
      </c>
      <c r="B1278">
        <f>HYPERLINK("https://www.suredividend.com/sure-analysis-research-database/","PDC Energy Inc")</f>
        <v>0</v>
      </c>
      <c r="C1278">
        <v>0.011317474271782</v>
      </c>
      <c r="D1278">
        <v>-0.07964649145895801</v>
      </c>
      <c r="E1278">
        <v>0.062673527942183</v>
      </c>
      <c r="F1278">
        <v>-0.025047258979206</v>
      </c>
      <c r="G1278">
        <v>0.199486017625021</v>
      </c>
      <c r="H1278">
        <v>1.664984455333844</v>
      </c>
      <c r="I1278">
        <v>0.192478656192738</v>
      </c>
    </row>
    <row r="1279" spans="1:9">
      <c r="A1279" s="1" t="s">
        <v>1291</v>
      </c>
      <c r="B1279">
        <f>HYPERLINK("https://www.suredividend.com/sure-analysis-PDCO/","Patterson Companies Inc.")</f>
        <v>0</v>
      </c>
      <c r="C1279">
        <v>-0.023496890117484</v>
      </c>
      <c r="D1279">
        <v>0.127653037201377</v>
      </c>
      <c r="E1279">
        <v>-0.034453540337018</v>
      </c>
      <c r="F1279">
        <v>0.008205494113449001</v>
      </c>
      <c r="G1279">
        <v>-0.003185151479878</v>
      </c>
      <c r="H1279">
        <v>-0.05925745919620701</v>
      </c>
      <c r="I1279">
        <v>-0.06511447881620801</v>
      </c>
    </row>
    <row r="1280" spans="1:9">
      <c r="A1280" s="1" t="s">
        <v>1292</v>
      </c>
      <c r="B1280">
        <f>HYPERLINK("https://www.suredividend.com/sure-analysis-research-database/","PDF Solutions Inc.")</f>
        <v>0</v>
      </c>
      <c r="C1280">
        <v>-0.023053792181757</v>
      </c>
      <c r="D1280">
        <v>0.176659959758551</v>
      </c>
      <c r="E1280">
        <v>0.334550433591967</v>
      </c>
      <c r="F1280">
        <v>0.025245441795231</v>
      </c>
      <c r="G1280">
        <v>0.036144578313253</v>
      </c>
      <c r="H1280">
        <v>0.341899954107388</v>
      </c>
      <c r="I1280">
        <v>0.797172710510141</v>
      </c>
    </row>
    <row r="1281" spans="1:9">
      <c r="A1281" s="1" t="s">
        <v>1293</v>
      </c>
      <c r="B1281">
        <f>HYPERLINK("https://www.suredividend.com/sure-analysis-research-database/","PDL Biopharma Inc")</f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</row>
    <row r="1282" spans="1:9">
      <c r="A1282" s="1" t="s">
        <v>1294</v>
      </c>
      <c r="B1282">
        <f>HYPERLINK("https://www.suredividend.com/sure-analysis-PDM/","Piedmont Office Realty Trust Inc")</f>
        <v>0</v>
      </c>
      <c r="C1282">
        <v>-0.007583965330444001</v>
      </c>
      <c r="D1282">
        <v>-0.044858292840608</v>
      </c>
      <c r="E1282">
        <v>-0.256300337750065</v>
      </c>
      <c r="F1282">
        <v>-0.001090512540894</v>
      </c>
      <c r="G1282">
        <v>-0.5030678507684541</v>
      </c>
      <c r="H1282">
        <v>-0.337537607035408</v>
      </c>
      <c r="I1282">
        <v>-0.386835710795306</v>
      </c>
    </row>
    <row r="1283" spans="1:9">
      <c r="A1283" s="1" t="s">
        <v>1295</v>
      </c>
      <c r="B1283">
        <f>HYPERLINK("https://www.suredividend.com/sure-analysis-research-database/","Pebblebrook Hotel Trust")</f>
        <v>0</v>
      </c>
      <c r="C1283">
        <v>-0.142844204656458</v>
      </c>
      <c r="D1283">
        <v>-0.08801828093166601</v>
      </c>
      <c r="E1283">
        <v>-0.231683627613</v>
      </c>
      <c r="F1283">
        <v>-0.010455563853622</v>
      </c>
      <c r="G1283">
        <v>-0.4398220959531901</v>
      </c>
      <c r="H1283">
        <v>-0.304513054158749</v>
      </c>
      <c r="I1283">
        <v>-0.607843137254902</v>
      </c>
    </row>
    <row r="1284" spans="1:9">
      <c r="A1284" s="1" t="s">
        <v>1296</v>
      </c>
      <c r="B1284">
        <f>HYPERLINK("https://www.suredividend.com/sure-analysis-research-database/","Peoples Bancorp, Inc. (Marietta, OH)")</f>
        <v>0</v>
      </c>
      <c r="C1284">
        <v>-0.034998301053347</v>
      </c>
      <c r="D1284">
        <v>-0.009320756823128001</v>
      </c>
      <c r="E1284">
        <v>0.09134227414210501</v>
      </c>
      <c r="F1284">
        <v>0.005309734513274001</v>
      </c>
      <c r="G1284">
        <v>-0.109050354340712</v>
      </c>
      <c r="H1284">
        <v>0.040037792922616</v>
      </c>
      <c r="I1284">
        <v>0.06441590177390101</v>
      </c>
    </row>
    <row r="1285" spans="1:9">
      <c r="A1285" s="1" t="s">
        <v>1297</v>
      </c>
      <c r="B1285">
        <f>HYPERLINK("https://www.suredividend.com/sure-analysis-PECO/","Phillips Edison &amp; Company Inc")</f>
        <v>0</v>
      </c>
      <c r="C1285">
        <v>-0.01718767313872</v>
      </c>
      <c r="D1285">
        <v>0.137671425670114</v>
      </c>
      <c r="E1285">
        <v>-0.04568345861290801</v>
      </c>
      <c r="F1285">
        <v>0.002826633165829</v>
      </c>
      <c r="G1285">
        <v>-0.038119739481976</v>
      </c>
      <c r="H1285">
        <v>0.192882307011219</v>
      </c>
      <c r="I1285">
        <v>0.192882307011219</v>
      </c>
    </row>
    <row r="1286" spans="1:9">
      <c r="A1286" s="1" t="s">
        <v>1298</v>
      </c>
      <c r="B1286">
        <f>HYPERLINK("https://www.suredividend.com/sure-analysis-research-database/","PetIQ Inc")</f>
        <v>0</v>
      </c>
      <c r="C1286">
        <v>-0.06431718061674001</v>
      </c>
      <c r="D1286">
        <v>0.442934782608695</v>
      </c>
      <c r="E1286">
        <v>-0.406703910614525</v>
      </c>
      <c r="F1286">
        <v>0.151843817787418</v>
      </c>
      <c r="G1286">
        <v>-0.478132678132678</v>
      </c>
      <c r="H1286">
        <v>-0.7026875699888011</v>
      </c>
      <c r="I1286">
        <v>-0.5209742895805141</v>
      </c>
    </row>
    <row r="1287" spans="1:9">
      <c r="A1287" s="1" t="s">
        <v>1299</v>
      </c>
      <c r="B1287">
        <f>HYPERLINK("https://www.suredividend.com/sure-analysis-PETS/","Petmed Express, Inc.")</f>
        <v>0</v>
      </c>
      <c r="C1287">
        <v>-0.001598295151838</v>
      </c>
      <c r="D1287">
        <v>-0.038466472033946</v>
      </c>
      <c r="E1287">
        <v>-0.118723136104135</v>
      </c>
      <c r="F1287">
        <v>0.058757062146892</v>
      </c>
      <c r="G1287">
        <v>-0.202084628420093</v>
      </c>
      <c r="H1287">
        <v>-0.39392371330069</v>
      </c>
      <c r="I1287">
        <v>-0.5228395376075771</v>
      </c>
    </row>
    <row r="1288" spans="1:9">
      <c r="A1288" s="1" t="s">
        <v>1300</v>
      </c>
      <c r="B1288">
        <f>HYPERLINK("https://www.suredividend.com/sure-analysis-research-database/","Preferred Bank (Los Angeles, CA)")</f>
        <v>0</v>
      </c>
      <c r="C1288">
        <v>-0.001660656341414</v>
      </c>
      <c r="D1288">
        <v>0.104693718130878</v>
      </c>
      <c r="E1288">
        <v>0.063299157974817</v>
      </c>
      <c r="F1288">
        <v>-0.030024154882891</v>
      </c>
      <c r="G1288">
        <v>-0.07214510906557101</v>
      </c>
      <c r="H1288">
        <v>0.4687692310837691</v>
      </c>
      <c r="I1288">
        <v>0.296526233721232</v>
      </c>
    </row>
    <row r="1289" spans="1:9">
      <c r="A1289" s="1" t="s">
        <v>1301</v>
      </c>
      <c r="B1289">
        <f>HYPERLINK("https://www.suredividend.com/sure-analysis-research-database/","Premier Financial Corp")</f>
        <v>0</v>
      </c>
      <c r="C1289">
        <v>-0.015557163531114</v>
      </c>
      <c r="D1289">
        <v>0.064033629875843</v>
      </c>
      <c r="E1289">
        <v>0.09025779928999</v>
      </c>
      <c r="F1289">
        <v>0.008898776418242001</v>
      </c>
      <c r="G1289">
        <v>-0.09350461576389101</v>
      </c>
      <c r="H1289">
        <v>0.205758927977949</v>
      </c>
      <c r="I1289">
        <v>0.109566082591515</v>
      </c>
    </row>
    <row r="1290" spans="1:9">
      <c r="A1290" s="1" t="s">
        <v>1302</v>
      </c>
      <c r="B1290">
        <f>HYPERLINK("https://www.suredividend.com/sure-analysis-research-database/","Performance Food Group Company")</f>
        <v>0</v>
      </c>
      <c r="C1290">
        <v>-0.009550938337801001</v>
      </c>
      <c r="D1290">
        <v>0.317067736185383</v>
      </c>
      <c r="E1290">
        <v>0.245732349841938</v>
      </c>
      <c r="F1290">
        <v>0.012330878575098</v>
      </c>
      <c r="G1290">
        <v>0.264114627887082</v>
      </c>
      <c r="H1290">
        <v>0.231714940612627</v>
      </c>
      <c r="I1290">
        <v>0.791212121212121</v>
      </c>
    </row>
    <row r="1291" spans="1:9">
      <c r="A1291" s="1" t="s">
        <v>1303</v>
      </c>
      <c r="B1291">
        <f>HYPERLINK("https://www.suredividend.com/sure-analysis-research-database/","Peoples Financial Services Corp")</f>
        <v>0</v>
      </c>
      <c r="C1291">
        <v>-0.04121142419014701</v>
      </c>
      <c r="D1291">
        <v>0.05641983078697101</v>
      </c>
      <c r="E1291">
        <v>-0.06345547856076901</v>
      </c>
      <c r="F1291">
        <v>-0.035108024691357</v>
      </c>
      <c r="G1291">
        <v>-0.023891437681849</v>
      </c>
      <c r="H1291">
        <v>0.305347435887398</v>
      </c>
      <c r="I1291">
        <v>0.268191268191268</v>
      </c>
    </row>
    <row r="1292" spans="1:9">
      <c r="A1292" s="1" t="s">
        <v>1304</v>
      </c>
      <c r="B1292">
        <f>HYPERLINK("https://www.suredividend.com/sure-analysis-research-database/","Provident Financial Services Inc")</f>
        <v>0</v>
      </c>
      <c r="C1292">
        <v>-0.015468607825295</v>
      </c>
      <c r="D1292">
        <v>0.136548652580606</v>
      </c>
      <c r="E1292">
        <v>-0.019687785962146</v>
      </c>
      <c r="F1292">
        <v>0.013108614232209</v>
      </c>
      <c r="G1292">
        <v>-0.132717471895477</v>
      </c>
      <c r="H1292">
        <v>0.216673600881582</v>
      </c>
      <c r="I1292">
        <v>-0.010163661479631</v>
      </c>
    </row>
    <row r="1293" spans="1:9">
      <c r="A1293" s="1" t="s">
        <v>1305</v>
      </c>
      <c r="B1293">
        <f>HYPERLINK("https://www.suredividend.com/sure-analysis-research-database/","PennyMac Financial Services Inc.")</f>
        <v>0</v>
      </c>
      <c r="C1293">
        <v>0.014529914529914</v>
      </c>
      <c r="D1293">
        <v>0.302754992064938</v>
      </c>
      <c r="E1293">
        <v>0.269605620063833</v>
      </c>
      <c r="F1293">
        <v>0.04747617366749</v>
      </c>
      <c r="G1293">
        <v>-0.108103559170228</v>
      </c>
      <c r="H1293">
        <v>0.06802231419830801</v>
      </c>
      <c r="I1293">
        <v>2.011406303911022</v>
      </c>
    </row>
    <row r="1294" spans="1:9">
      <c r="A1294" s="1" t="s">
        <v>1306</v>
      </c>
      <c r="B1294">
        <f>HYPERLINK("https://www.suredividend.com/sure-analysis-research-database/","Peapack-Gladstone Financial Corp.")</f>
        <v>0</v>
      </c>
      <c r="C1294">
        <v>-0.04758086073242401</v>
      </c>
      <c r="D1294">
        <v>0.027206706970763</v>
      </c>
      <c r="E1294">
        <v>0.208292214772839</v>
      </c>
      <c r="F1294">
        <v>-0.042718968296614</v>
      </c>
      <c r="G1294">
        <v>-0.033872752120436</v>
      </c>
      <c r="H1294">
        <v>0.42530832343258</v>
      </c>
      <c r="I1294">
        <v>0.041849421617132</v>
      </c>
    </row>
    <row r="1295" spans="1:9">
      <c r="A1295" s="1" t="s">
        <v>1307</v>
      </c>
      <c r="B1295">
        <f>HYPERLINK("https://www.suredividend.com/sure-analysis-research-database/","Precigen Inc")</f>
        <v>0</v>
      </c>
      <c r="C1295">
        <v>0</v>
      </c>
      <c r="D1295">
        <v>-0.113636363636363</v>
      </c>
      <c r="E1295">
        <v>-0.037037037037037</v>
      </c>
      <c r="F1295">
        <v>0.026315789473684</v>
      </c>
      <c r="G1295">
        <v>-0.50788643533123</v>
      </c>
      <c r="H1295">
        <v>-0.832258064516129</v>
      </c>
      <c r="I1295">
        <v>-0.8859649122807011</v>
      </c>
    </row>
    <row r="1296" spans="1:9">
      <c r="A1296" s="1" t="s">
        <v>1308</v>
      </c>
      <c r="B1296">
        <f>HYPERLINK("https://www.suredividend.com/sure-analysis-research-database/","Progyny Inc")</f>
        <v>0</v>
      </c>
      <c r="C1296">
        <v>-0.051592356687897</v>
      </c>
      <c r="D1296">
        <v>-0.206078379098906</v>
      </c>
      <c r="E1296">
        <v>-0.052497613744829</v>
      </c>
      <c r="F1296">
        <v>-0.04398073836276</v>
      </c>
      <c r="G1296">
        <v>-0.319780721790772</v>
      </c>
      <c r="H1296">
        <v>-0.327613456762248</v>
      </c>
      <c r="I1296">
        <v>0.868255959849435</v>
      </c>
    </row>
    <row r="1297" spans="1:9">
      <c r="A1297" s="1" t="s">
        <v>1309</v>
      </c>
      <c r="B1297">
        <f>HYPERLINK("https://www.suredividend.com/sure-analysis-PGRE/","Paramount Group Inc")</f>
        <v>0</v>
      </c>
      <c r="C1297">
        <v>-0.007262657401118</v>
      </c>
      <c r="D1297">
        <v>-0.032208771244715</v>
      </c>
      <c r="E1297">
        <v>-0.180940337969881</v>
      </c>
      <c r="F1297">
        <v>-0.04040404040404001</v>
      </c>
      <c r="G1297">
        <v>-0.383290416116677</v>
      </c>
      <c r="H1297">
        <v>-0.298435634546506</v>
      </c>
      <c r="I1297">
        <v>-0.557071699989898</v>
      </c>
    </row>
    <row r="1298" spans="1:9">
      <c r="A1298" s="1" t="s">
        <v>1310</v>
      </c>
      <c r="B1298">
        <f>HYPERLINK("https://www.suredividend.com/sure-analysis-research-database/","PGT Innovations Inc")</f>
        <v>0</v>
      </c>
      <c r="C1298">
        <v>-0.003767491926802</v>
      </c>
      <c r="D1298">
        <v>-0.196265740338688</v>
      </c>
      <c r="E1298">
        <v>0.021523178807947</v>
      </c>
      <c r="F1298">
        <v>0.030623608017817</v>
      </c>
      <c r="G1298">
        <v>-0.147790055248618</v>
      </c>
      <c r="H1298">
        <v>-0.170698924731182</v>
      </c>
      <c r="I1298">
        <v>0.079300291545189</v>
      </c>
    </row>
    <row r="1299" spans="1:9">
      <c r="A1299" s="1" t="s">
        <v>1311</v>
      </c>
      <c r="B1299">
        <f>HYPERLINK("https://www.suredividend.com/sure-analysis-research-database/","Phathom Pharmaceuticals Inc")</f>
        <v>0</v>
      </c>
      <c r="C1299">
        <v>-0.219095477386934</v>
      </c>
      <c r="D1299">
        <v>-0.234482758620689</v>
      </c>
      <c r="E1299">
        <v>-0.242690058479532</v>
      </c>
      <c r="F1299">
        <v>-0.307486631016042</v>
      </c>
      <c r="G1299">
        <v>-0.5344517675254641</v>
      </c>
      <c r="H1299">
        <v>-0.779886685552407</v>
      </c>
      <c r="I1299">
        <v>-0.684146341463414</v>
      </c>
    </row>
    <row r="1300" spans="1:9">
      <c r="A1300" s="1" t="s">
        <v>1312</v>
      </c>
      <c r="B1300">
        <f>HYPERLINK("https://www.suredividend.com/sure-analysis-research-database/","Phreesia Inc")</f>
        <v>0</v>
      </c>
      <c r="C1300">
        <v>0.076350695567777</v>
      </c>
      <c r="D1300">
        <v>0.392632900795312</v>
      </c>
      <c r="E1300">
        <v>0.257844990548204</v>
      </c>
      <c r="F1300">
        <v>0.028121137206427</v>
      </c>
      <c r="G1300">
        <v>-0.071189279731993</v>
      </c>
      <c r="H1300">
        <v>-0.418559944075498</v>
      </c>
      <c r="I1300">
        <v>0.326555023923445</v>
      </c>
    </row>
    <row r="1301" spans="1:9">
      <c r="A1301" s="1" t="s">
        <v>1313</v>
      </c>
      <c r="B1301">
        <f>HYPERLINK("https://www.suredividend.com/sure-analysis-research-database/","Impinj Inc")</f>
        <v>0</v>
      </c>
      <c r="C1301">
        <v>0.033068783068783</v>
      </c>
      <c r="D1301">
        <v>0.3933158896289241</v>
      </c>
      <c r="E1301">
        <v>0.7880036630036631</v>
      </c>
      <c r="F1301">
        <v>0.07299871771386601</v>
      </c>
      <c r="G1301">
        <v>0.453293636025307</v>
      </c>
      <c r="H1301">
        <v>1.729496738117427</v>
      </c>
      <c r="I1301">
        <v>4.043047783039174</v>
      </c>
    </row>
    <row r="1302" spans="1:9">
      <c r="A1302" s="1" t="s">
        <v>1314</v>
      </c>
      <c r="B1302">
        <f>HYPERLINK("https://www.suredividend.com/sure-analysis-research-database/","Ping Identity Holding Corp")</f>
        <v>0</v>
      </c>
      <c r="C1302">
        <v>0.01171458998935</v>
      </c>
      <c r="D1302">
        <v>0.595744680851063</v>
      </c>
      <c r="E1302">
        <v>-0.036185322962462</v>
      </c>
      <c r="F1302">
        <v>0.24562937062937</v>
      </c>
      <c r="G1302">
        <v>0.07669059312429101</v>
      </c>
      <c r="H1302">
        <v>-0.18103448275862</v>
      </c>
      <c r="I1302">
        <v>0.417205370462456</v>
      </c>
    </row>
    <row r="1303" spans="1:9">
      <c r="A1303" s="1" t="s">
        <v>1315</v>
      </c>
      <c r="B1303">
        <f>HYPERLINK("https://www.suredividend.com/sure-analysis-research-database/","Piper Sandler Co`s")</f>
        <v>0</v>
      </c>
      <c r="C1303">
        <v>0.009882146255764002</v>
      </c>
      <c r="D1303">
        <v>0.279951904387704</v>
      </c>
      <c r="E1303">
        <v>0.244624235529529</v>
      </c>
      <c r="F1303">
        <v>0.05968200322605401</v>
      </c>
      <c r="G1303">
        <v>-0.182568250159238</v>
      </c>
      <c r="H1303">
        <v>0.45281612124633</v>
      </c>
      <c r="I1303">
        <v>0.6498287507414421</v>
      </c>
    </row>
    <row r="1304" spans="1:9">
      <c r="A1304" s="1" t="s">
        <v>1316</v>
      </c>
      <c r="B1304">
        <f>HYPERLINK("https://www.suredividend.com/sure-analysis-research-database/","PJT Partners Inc")</f>
        <v>0</v>
      </c>
      <c r="C1304">
        <v>-0.016544824932666</v>
      </c>
      <c r="D1304">
        <v>0.112394171681241</v>
      </c>
      <c r="E1304">
        <v>0.128882188747688</v>
      </c>
      <c r="F1304">
        <v>0.040575383362735</v>
      </c>
      <c r="G1304">
        <v>0.05479485973209101</v>
      </c>
      <c r="H1304">
        <v>0.044567106761624</v>
      </c>
      <c r="I1304">
        <v>0.6685997297338461</v>
      </c>
    </row>
    <row r="1305" spans="1:9">
      <c r="A1305" s="1" t="s">
        <v>1317</v>
      </c>
      <c r="B1305">
        <f>HYPERLINK("https://www.suredividend.com/sure-analysis-research-database/","Park Aerospace Corp")</f>
        <v>0</v>
      </c>
      <c r="C1305">
        <v>0.030326594090202</v>
      </c>
      <c r="D1305">
        <v>0.261904761904761</v>
      </c>
      <c r="E1305">
        <v>0.107461364225236</v>
      </c>
      <c r="F1305">
        <v>-0.01193139448173</v>
      </c>
      <c r="G1305">
        <v>0.004153025342548001</v>
      </c>
      <c r="H1305">
        <v>0.000498361447966</v>
      </c>
      <c r="I1305">
        <v>0.077805344287631</v>
      </c>
    </row>
    <row r="1306" spans="1:9">
      <c r="A1306" s="1" t="s">
        <v>1318</v>
      </c>
      <c r="B1306">
        <f>HYPERLINK("https://www.suredividend.com/sure-analysis-research-database/","Park-Ohio Holdings Corp.")</f>
        <v>0</v>
      </c>
      <c r="C1306">
        <v>0.023640661938534</v>
      </c>
      <c r="D1306">
        <v>0.138265525188177</v>
      </c>
      <c r="E1306">
        <v>-0.175044296120358</v>
      </c>
      <c r="F1306">
        <v>0.062142273098936</v>
      </c>
      <c r="G1306">
        <v>-0.40076392220541</v>
      </c>
      <c r="H1306">
        <v>-0.5738510545464081</v>
      </c>
      <c r="I1306">
        <v>-0.6933485675435781</v>
      </c>
    </row>
    <row r="1307" spans="1:9">
      <c r="A1307" s="1" t="s">
        <v>1319</v>
      </c>
      <c r="B1307">
        <f>HYPERLINK("https://www.suredividend.com/sure-analysis-research-database/","Photronics, Inc.")</f>
        <v>0</v>
      </c>
      <c r="C1307">
        <v>-0.019704433497536</v>
      </c>
      <c r="D1307">
        <v>0.153994845360824</v>
      </c>
      <c r="E1307">
        <v>-0.044290288153681</v>
      </c>
      <c r="F1307">
        <v>0.06417112299465201</v>
      </c>
      <c r="G1307">
        <v>-0.034501347708894</v>
      </c>
      <c r="H1307">
        <v>0.562827225130889</v>
      </c>
      <c r="I1307">
        <v>1.094736842105263</v>
      </c>
    </row>
    <row r="1308" spans="1:9">
      <c r="A1308" s="1" t="s">
        <v>1320</v>
      </c>
      <c r="B1308">
        <f>HYPERLINK("https://www.suredividend.com/sure-analysis-research-database/","Dave &amp; Buster`s Entertainment Inc")</f>
        <v>0</v>
      </c>
      <c r="C1308">
        <v>0.157538195445373</v>
      </c>
      <c r="D1308">
        <v>0.256021269940569</v>
      </c>
      <c r="E1308">
        <v>0.248600746268656</v>
      </c>
      <c r="F1308">
        <v>0.133041760722347</v>
      </c>
      <c r="G1308">
        <v>0.044886807181889</v>
      </c>
      <c r="H1308">
        <v>0.277601018135539</v>
      </c>
      <c r="I1308">
        <v>-0.06820623609154701</v>
      </c>
    </row>
    <row r="1309" spans="1:9">
      <c r="A1309" s="1" t="s">
        <v>1321</v>
      </c>
      <c r="B1309">
        <f>HYPERLINK("https://www.suredividend.com/sure-analysis-research-database/","PLBY Group Inc")</f>
        <v>0</v>
      </c>
      <c r="C1309">
        <v>-0.340153452685422</v>
      </c>
      <c r="D1309">
        <v>-0.319261213720316</v>
      </c>
      <c r="E1309">
        <v>-0.621145374449339</v>
      </c>
      <c r="F1309">
        <v>-0.061818181818181</v>
      </c>
      <c r="G1309">
        <v>-0.895334685598377</v>
      </c>
      <c r="H1309">
        <v>-0.7654545454545451</v>
      </c>
      <c r="I1309">
        <v>-0.7388663967611331</v>
      </c>
    </row>
    <row r="1310" spans="1:9">
      <c r="A1310" s="1" t="s">
        <v>1322</v>
      </c>
      <c r="B1310">
        <f>HYPERLINK("https://www.suredividend.com/sure-analysis-research-database/","Childrens Place Inc")</f>
        <v>0</v>
      </c>
      <c r="C1310">
        <v>0.028107794842074</v>
      </c>
      <c r="D1310">
        <v>-0.07362924281984301</v>
      </c>
      <c r="E1310">
        <v>-0.15764482431149</v>
      </c>
      <c r="F1310">
        <v>-0.025809994508511</v>
      </c>
      <c r="G1310">
        <v>-0.508723345333702</v>
      </c>
      <c r="H1310">
        <v>-0.337070254110613</v>
      </c>
      <c r="I1310">
        <v>-0.7523902575197151</v>
      </c>
    </row>
    <row r="1311" spans="1:9">
      <c r="A1311" s="1" t="s">
        <v>1323</v>
      </c>
      <c r="B1311">
        <f>HYPERLINK("https://www.suredividend.com/sure-analysis-research-database/","Polymet Mining Corp")</f>
        <v>0</v>
      </c>
      <c r="C1311">
        <v>-0.054151624548736</v>
      </c>
      <c r="D1311">
        <v>-0.093425605536332</v>
      </c>
      <c r="E1311">
        <v>-0.026022304832713</v>
      </c>
      <c r="F1311">
        <v>-0.011320754716981</v>
      </c>
      <c r="G1311">
        <v>-0.015037593984962</v>
      </c>
      <c r="H1311">
        <v>-0.286103542234332</v>
      </c>
      <c r="I1311">
        <v>1.477072894015316</v>
      </c>
    </row>
    <row r="1312" spans="1:9">
      <c r="A1312" s="1" t="s">
        <v>1324</v>
      </c>
      <c r="B1312">
        <f>HYPERLINK("https://www.suredividend.com/sure-analysis-research-database/","Palomar Holdings Inc")</f>
        <v>0</v>
      </c>
      <c r="C1312">
        <v>-0.067656129529684</v>
      </c>
      <c r="D1312">
        <v>-0.465701977245112</v>
      </c>
      <c r="E1312">
        <v>-0.213495934959349</v>
      </c>
      <c r="F1312">
        <v>0.071080602302922</v>
      </c>
      <c r="G1312">
        <v>-0.181418175664241</v>
      </c>
      <c r="H1312">
        <v>-0.511315417256011</v>
      </c>
      <c r="I1312">
        <v>1.547130068457082</v>
      </c>
    </row>
    <row r="1313" spans="1:9">
      <c r="A1313" s="1" t="s">
        <v>1325</v>
      </c>
      <c r="B1313">
        <f>HYPERLINK("https://www.suredividend.com/sure-analysis-research-database/","Douglas Dynamics Inc")</f>
        <v>0</v>
      </c>
      <c r="C1313">
        <v>0.0360174730075</v>
      </c>
      <c r="D1313">
        <v>0.352126614412644</v>
      </c>
      <c r="E1313">
        <v>0.29896971137451</v>
      </c>
      <c r="F1313">
        <v>0.042865044247787</v>
      </c>
      <c r="G1313">
        <v>-0.006878897690881</v>
      </c>
      <c r="H1313">
        <v>-0.07555176395313701</v>
      </c>
      <c r="I1313">
        <v>0.089188697392705</v>
      </c>
    </row>
    <row r="1314" spans="1:9">
      <c r="A1314" s="1" t="s">
        <v>1326</v>
      </c>
      <c r="B1314">
        <f>HYPERLINK("https://www.suredividend.com/sure-analysis-research-database/","Preformed Line Products Co.")</f>
        <v>0</v>
      </c>
      <c r="C1314">
        <v>-0.07694500470011401</v>
      </c>
      <c r="D1314">
        <v>0.134235996146933</v>
      </c>
      <c r="E1314">
        <v>0.333902203390661</v>
      </c>
      <c r="F1314">
        <v>-0.017875626465363</v>
      </c>
      <c r="G1314">
        <v>0.318489553878718</v>
      </c>
      <c r="H1314">
        <v>0.181396480133428</v>
      </c>
      <c r="I1314">
        <v>0.08863431092516501</v>
      </c>
    </row>
    <row r="1315" spans="1:9">
      <c r="A1315" s="1" t="s">
        <v>1327</v>
      </c>
      <c r="B1315">
        <f>HYPERLINK("https://www.suredividend.com/sure-analysis-research-database/","Pliant Therapeutics Inc")</f>
        <v>0</v>
      </c>
      <c r="C1315">
        <v>0.057597366977509</v>
      </c>
      <c r="D1315">
        <v>-0.120839033287733</v>
      </c>
      <c r="E1315">
        <v>1.171171171171171</v>
      </c>
      <c r="F1315">
        <v>-0.002586652871184</v>
      </c>
      <c r="G1315">
        <v>0.465045592705167</v>
      </c>
      <c r="H1315">
        <v>-0.297119941669704</v>
      </c>
      <c r="I1315">
        <v>-0.094835680751173</v>
      </c>
    </row>
    <row r="1316" spans="1:9">
      <c r="A1316" s="1" t="s">
        <v>1328</v>
      </c>
      <c r="B1316">
        <f>HYPERLINK("https://www.suredividend.com/sure-analysis-research-database/","Pulse Biosciences Inc")</f>
        <v>0</v>
      </c>
      <c r="C1316">
        <v>0.110726643598615</v>
      </c>
      <c r="D1316">
        <v>0.5970149253731341</v>
      </c>
      <c r="E1316">
        <v>0.855491329479768</v>
      </c>
      <c r="F1316">
        <v>0.15884476534296</v>
      </c>
      <c r="G1316">
        <v>-0.762398223538119</v>
      </c>
      <c r="H1316">
        <v>-0.878455130632336</v>
      </c>
      <c r="I1316">
        <v>-0.869987849331713</v>
      </c>
    </row>
    <row r="1317" spans="1:9">
      <c r="A1317" s="1" t="s">
        <v>1329</v>
      </c>
      <c r="B1317">
        <f>HYPERLINK("https://www.suredividend.com/sure-analysis-research-database/","ePlus Inc")</f>
        <v>0</v>
      </c>
      <c r="C1317">
        <v>-0.00243309002433</v>
      </c>
      <c r="D1317">
        <v>0.054230949041608</v>
      </c>
      <c r="E1317">
        <v>-0.133192389006342</v>
      </c>
      <c r="F1317">
        <v>0.018518518518518</v>
      </c>
      <c r="G1317">
        <v>-0.130183220829315</v>
      </c>
      <c r="H1317">
        <v>-0.034157832744405</v>
      </c>
      <c r="I1317">
        <v>0.184504267892317</v>
      </c>
    </row>
    <row r="1318" spans="1:9">
      <c r="A1318" s="1" t="s">
        <v>1330</v>
      </c>
      <c r="B1318">
        <f>HYPERLINK("https://www.suredividend.com/sure-analysis-research-database/","Plexus Corp.")</f>
        <v>0</v>
      </c>
      <c r="C1318">
        <v>0.03518013357163</v>
      </c>
      <c r="D1318">
        <v>0.222098833981121</v>
      </c>
      <c r="E1318">
        <v>0.42110020661157</v>
      </c>
      <c r="F1318">
        <v>0.069173224521519</v>
      </c>
      <c r="G1318">
        <v>0.185500377033286</v>
      </c>
      <c r="H1318">
        <v>0.293336467269949</v>
      </c>
      <c r="I1318">
        <v>0.7054083372075001</v>
      </c>
    </row>
    <row r="1319" spans="1:9">
      <c r="A1319" s="1" t="s">
        <v>1331</v>
      </c>
      <c r="B1319">
        <f>HYPERLINK("https://www.suredividend.com/sure-analysis-PLYM/","Plymouth Industrial Reit Inc")</f>
        <v>0</v>
      </c>
      <c r="C1319">
        <v>-0.007788381993906001</v>
      </c>
      <c r="D1319">
        <v>0.243213520500066</v>
      </c>
      <c r="E1319">
        <v>0.123762404520187</v>
      </c>
      <c r="F1319">
        <v>0.025547445255474</v>
      </c>
      <c r="G1319">
        <v>-0.287409205354393</v>
      </c>
      <c r="H1319">
        <v>0.4313365933170331</v>
      </c>
      <c r="I1319">
        <v>0.510961576869306</v>
      </c>
    </row>
    <row r="1320" spans="1:9">
      <c r="A1320" s="1" t="s">
        <v>1332</v>
      </c>
      <c r="B1320">
        <f>HYPERLINK("https://www.suredividend.com/sure-analysis-PMT/","Pennymac Mortgage Investment Trust")</f>
        <v>0</v>
      </c>
      <c r="C1320">
        <v>-0.051363971491767</v>
      </c>
      <c r="D1320">
        <v>0.249225591093604</v>
      </c>
      <c r="E1320">
        <v>0.004371357202331</v>
      </c>
      <c r="F1320">
        <v>0.09039548022598801</v>
      </c>
      <c r="G1320">
        <v>-0.141819013377713</v>
      </c>
      <c r="H1320">
        <v>-0.020943546633814</v>
      </c>
      <c r="I1320">
        <v>0.423843851439652</v>
      </c>
    </row>
    <row r="1321" spans="1:9">
      <c r="A1321" s="1" t="s">
        <v>1333</v>
      </c>
      <c r="B1321">
        <f>HYPERLINK("https://www.suredividend.com/sure-analysis-research-database/","PMV Pharmaceuticals Inc")</f>
        <v>0</v>
      </c>
      <c r="C1321">
        <v>-0.158234660925726</v>
      </c>
      <c r="D1321">
        <v>-0.331052181351582</v>
      </c>
      <c r="E1321">
        <v>-0.513075965130759</v>
      </c>
      <c r="F1321">
        <v>-0.101149425287356</v>
      </c>
      <c r="G1321">
        <v>-0.5777537796976241</v>
      </c>
      <c r="H1321">
        <v>-0.834881756756756</v>
      </c>
      <c r="I1321">
        <v>-0.7915222607304711</v>
      </c>
    </row>
    <row r="1322" spans="1:9">
      <c r="A1322" s="1" t="s">
        <v>1334</v>
      </c>
      <c r="B1322">
        <f>HYPERLINK("https://www.suredividend.com/sure-analysis-PNM/","PNM Resources Inc")</f>
        <v>0</v>
      </c>
      <c r="C1322">
        <v>0.003067484662576</v>
      </c>
      <c r="D1322">
        <v>0.07224833315116401</v>
      </c>
      <c r="E1322">
        <v>0.054337615885783</v>
      </c>
      <c r="F1322">
        <v>0.005328960852633</v>
      </c>
      <c r="G1322">
        <v>0.099162126973954</v>
      </c>
      <c r="H1322">
        <v>0.071351344267451</v>
      </c>
      <c r="I1322">
        <v>0.439843598640294</v>
      </c>
    </row>
    <row r="1323" spans="1:9">
      <c r="A1323" s="1" t="s">
        <v>1335</v>
      </c>
      <c r="B1323">
        <f>HYPERLINK("https://www.suredividend.com/sure-analysis-research-database/","Pennant Group Inc")</f>
        <v>0</v>
      </c>
      <c r="C1323">
        <v>0.081836327345309</v>
      </c>
      <c r="D1323">
        <v>0.052427184466019</v>
      </c>
      <c r="E1323">
        <v>-0.11437908496732</v>
      </c>
      <c r="F1323">
        <v>-0.012750455373406</v>
      </c>
      <c r="G1323">
        <v>-0.437175493250259</v>
      </c>
      <c r="H1323">
        <v>-0.829720389569588</v>
      </c>
      <c r="I1323">
        <v>-0.281643472498343</v>
      </c>
    </row>
    <row r="1324" spans="1:9">
      <c r="A1324" s="1" t="s">
        <v>1336</v>
      </c>
      <c r="B1324">
        <f>HYPERLINK("https://www.suredividend.com/sure-analysis-research-database/","Plantronics, Inc.")</f>
        <v>0</v>
      </c>
      <c r="C1324">
        <v>0.0007539582809750001</v>
      </c>
      <c r="D1324">
        <v>0.000251193167545</v>
      </c>
      <c r="E1324">
        <v>0.436507936507936</v>
      </c>
      <c r="F1324">
        <v>0.3571915473755961</v>
      </c>
      <c r="G1324">
        <v>0.235494880546075</v>
      </c>
      <c r="H1324">
        <v>2.125588697017268</v>
      </c>
      <c r="I1324">
        <v>-0.019064440716462</v>
      </c>
    </row>
    <row r="1325" spans="1:9">
      <c r="A1325" s="1" t="s">
        <v>1337</v>
      </c>
      <c r="B1325">
        <f>HYPERLINK("https://www.suredividend.com/sure-analysis-POR/","Portland General Electric Co")</f>
        <v>0</v>
      </c>
      <c r="C1325">
        <v>0.028116256542652</v>
      </c>
      <c r="D1325">
        <v>0.177484477964423</v>
      </c>
      <c r="E1325">
        <v>0.03914985524176001</v>
      </c>
      <c r="F1325">
        <v>0.009387755102040001</v>
      </c>
      <c r="G1325">
        <v>-0.037374246549747</v>
      </c>
      <c r="H1325">
        <v>0.270302756346377</v>
      </c>
      <c r="I1325">
        <v>0.35424481548209</v>
      </c>
    </row>
    <row r="1326" spans="1:9">
      <c r="A1326" s="1" t="s">
        <v>1338</v>
      </c>
      <c r="B1326">
        <f>HYPERLINK("https://www.suredividend.com/sure-analysis-research-database/","Power Integrations Inc.")</f>
        <v>0</v>
      </c>
      <c r="C1326">
        <v>0.041677657610129</v>
      </c>
      <c r="D1326">
        <v>0.20662866606269</v>
      </c>
      <c r="E1326">
        <v>0.059399047909034</v>
      </c>
      <c r="F1326">
        <v>0.10122699386503</v>
      </c>
      <c r="G1326">
        <v>-0.06363555529209501</v>
      </c>
      <c r="H1326">
        <v>-0.135523020612598</v>
      </c>
      <c r="I1326">
        <v>1.112996345463398</v>
      </c>
    </row>
    <row r="1327" spans="1:9">
      <c r="A1327" s="1" t="s">
        <v>1339</v>
      </c>
      <c r="B1327">
        <f>HYPERLINK("https://www.suredividend.com/sure-analysis-research-database/","Powell Industries, Inc.")</f>
        <v>0</v>
      </c>
      <c r="C1327">
        <v>0.03696443573228701</v>
      </c>
      <c r="D1327">
        <v>0.7763429306060571</v>
      </c>
      <c r="E1327">
        <v>0.649957670543153</v>
      </c>
      <c r="F1327">
        <v>0.052586696986924</v>
      </c>
      <c r="G1327">
        <v>0.323563577875078</v>
      </c>
      <c r="H1327">
        <v>0.22915449572468</v>
      </c>
      <c r="I1327">
        <v>0.476110371439277</v>
      </c>
    </row>
    <row r="1328" spans="1:9">
      <c r="A1328" s="1" t="s">
        <v>1340</v>
      </c>
      <c r="B1328">
        <f>HYPERLINK("https://www.suredividend.com/sure-analysis-research-database/","AMMO Inc")</f>
        <v>0</v>
      </c>
      <c r="C1328">
        <v>0.06842105263157801</v>
      </c>
      <c r="D1328">
        <v>-0.347266881028939</v>
      </c>
      <c r="E1328">
        <v>-0.547884187082405</v>
      </c>
      <c r="F1328">
        <v>0.173410404624277</v>
      </c>
      <c r="G1328">
        <v>-0.5923694779116461</v>
      </c>
      <c r="H1328">
        <v>-0.486075949367088</v>
      </c>
      <c r="I1328">
        <v>91.27272727272728</v>
      </c>
    </row>
    <row r="1329" spans="1:9">
      <c r="A1329" s="1" t="s">
        <v>1341</v>
      </c>
      <c r="B1329">
        <f>HYPERLINK("https://www.suredividend.com/sure-analysis-research-database/","Pacific Premier Bancorp, Inc.")</f>
        <v>0</v>
      </c>
      <c r="C1329">
        <v>-0.08675400291120801</v>
      </c>
      <c r="D1329">
        <v>-0.001743845625111</v>
      </c>
      <c r="E1329">
        <v>0.052363204524792</v>
      </c>
      <c r="F1329">
        <v>-0.006020278833966001</v>
      </c>
      <c r="G1329">
        <v>-0.261951816299642</v>
      </c>
      <c r="H1329">
        <v>-0.001108110862033</v>
      </c>
      <c r="I1329">
        <v>-0.08434424219780701</v>
      </c>
    </row>
    <row r="1330" spans="1:9">
      <c r="A1330" s="1" t="s">
        <v>1342</v>
      </c>
      <c r="B1330">
        <f>HYPERLINK("https://www.suredividend.com/sure-analysis-research-database/","Perpetua Resources Corp.")</f>
        <v>0</v>
      </c>
      <c r="C1330">
        <v>0.5567567567567561</v>
      </c>
      <c r="D1330">
        <v>0.484536082474226</v>
      </c>
      <c r="E1330">
        <v>0.028571428571428</v>
      </c>
      <c r="F1330">
        <v>-0.013698630136986</v>
      </c>
      <c r="G1330">
        <v>-0.365638766519823</v>
      </c>
      <c r="H1330">
        <v>2.75</v>
      </c>
      <c r="I1330">
        <v>2.75</v>
      </c>
    </row>
    <row r="1331" spans="1:9">
      <c r="A1331" s="1" t="s">
        <v>1343</v>
      </c>
      <c r="B1331">
        <f>HYPERLINK("https://www.suredividend.com/sure-analysis-research-database/","Proassurance Corporation")</f>
        <v>0</v>
      </c>
      <c r="C1331">
        <v>-0.06318824543297601</v>
      </c>
      <c r="D1331">
        <v>-0.080744174392382</v>
      </c>
      <c r="E1331">
        <v>-0.254202258992135</v>
      </c>
      <c r="F1331">
        <v>0.008013737836290001</v>
      </c>
      <c r="G1331">
        <v>-0.30024080299454</v>
      </c>
      <c r="H1331">
        <v>-0.087583677022237</v>
      </c>
      <c r="I1331">
        <v>-0.6427368668773861</v>
      </c>
    </row>
    <row r="1332" spans="1:9">
      <c r="A1332" s="1" t="s">
        <v>1344</v>
      </c>
      <c r="B1332">
        <f>HYPERLINK("https://www.suredividend.com/sure-analysis-research-database/","PRA Group Inc")</f>
        <v>0</v>
      </c>
      <c r="C1332">
        <v>0.034994068801897</v>
      </c>
      <c r="D1332">
        <v>0.07849196538936901</v>
      </c>
      <c r="E1332">
        <v>-0.07353331563578401</v>
      </c>
      <c r="F1332">
        <v>0.033155713439905</v>
      </c>
      <c r="G1332">
        <v>-0.286298568507157</v>
      </c>
      <c r="H1332">
        <v>-0.021037868162692</v>
      </c>
      <c r="I1332">
        <v>-0.016901408450704</v>
      </c>
    </row>
    <row r="1333" spans="1:9">
      <c r="A1333" s="1" t="s">
        <v>1345</v>
      </c>
      <c r="B1333">
        <f>HYPERLINK("https://www.suredividend.com/sure-analysis-research-database/","Praxis Precision Medicines Inc")</f>
        <v>0</v>
      </c>
      <c r="C1333">
        <v>0.153846153846153</v>
      </c>
      <c r="D1333">
        <v>0.09090909090909001</v>
      </c>
      <c r="E1333">
        <v>-0.266055045871559</v>
      </c>
      <c r="F1333">
        <v>0.008403361344537001</v>
      </c>
      <c r="G1333">
        <v>-0.867476532302595</v>
      </c>
      <c r="H1333">
        <v>-0.9592944369063771</v>
      </c>
      <c r="I1333">
        <v>-0.9136690647482011</v>
      </c>
    </row>
    <row r="1334" spans="1:9">
      <c r="A1334" s="1" t="s">
        <v>1346</v>
      </c>
      <c r="B1334">
        <f>HYPERLINK("https://www.suredividend.com/sure-analysis-research-database/","Porch Group Inc")</f>
        <v>0</v>
      </c>
      <c r="C1334">
        <v>0.101694915254237</v>
      </c>
      <c r="D1334">
        <v>-0.093023255813953</v>
      </c>
      <c r="E1334">
        <v>-0.296028880866426</v>
      </c>
      <c r="F1334">
        <v>0.037234042553191</v>
      </c>
      <c r="G1334">
        <v>-0.8510313216195561</v>
      </c>
      <c r="H1334">
        <v>-0.8510313216195561</v>
      </c>
      <c r="I1334">
        <v>-0.8030303030303031</v>
      </c>
    </row>
    <row r="1335" spans="1:9">
      <c r="A1335" s="1" t="s">
        <v>1347</v>
      </c>
      <c r="B1335">
        <f>HYPERLINK("https://www.suredividend.com/sure-analysis-research-database/","Procept BioRobotics Corp")</f>
        <v>0</v>
      </c>
      <c r="C1335">
        <v>-0.138051857042747</v>
      </c>
      <c r="D1335">
        <v>-0.078421578421578</v>
      </c>
      <c r="E1335">
        <v>0.127061698228466</v>
      </c>
      <c r="F1335">
        <v>-0.111699566682715</v>
      </c>
      <c r="G1335">
        <v>0.684931506849315</v>
      </c>
      <c r="H1335">
        <v>-0.120171673819742</v>
      </c>
      <c r="I1335">
        <v>-0.120171673819742</v>
      </c>
    </row>
    <row r="1336" spans="1:9">
      <c r="A1336" s="1" t="s">
        <v>1348</v>
      </c>
      <c r="B1336">
        <f>HYPERLINK("https://www.suredividend.com/sure-analysis-research-database/","Perdoceo Education Corporation")</f>
        <v>0</v>
      </c>
      <c r="C1336">
        <v>0.035150645624103</v>
      </c>
      <c r="D1336">
        <v>0.417485265225933</v>
      </c>
      <c r="E1336">
        <v>0.206521739130434</v>
      </c>
      <c r="F1336">
        <v>0.038129496402877</v>
      </c>
      <c r="G1336">
        <v>0.194536423841059</v>
      </c>
      <c r="H1336">
        <v>0.150259067357513</v>
      </c>
      <c r="I1336">
        <v>0.152555910543131</v>
      </c>
    </row>
    <row r="1337" spans="1:9">
      <c r="A1337" s="1" t="s">
        <v>1349</v>
      </c>
      <c r="B1337">
        <f>HYPERLINK("https://www.suredividend.com/sure-analysis-research-database/","Perficient Inc.")</f>
        <v>0</v>
      </c>
      <c r="C1337">
        <v>-0.013096222773642</v>
      </c>
      <c r="D1337">
        <v>0.07379631018449001</v>
      </c>
      <c r="E1337">
        <v>-0.242433862433862</v>
      </c>
      <c r="F1337">
        <v>0.025204067019905</v>
      </c>
      <c r="G1337">
        <v>-0.358109925580561</v>
      </c>
      <c r="H1337">
        <v>0.467910600779167</v>
      </c>
      <c r="I1337">
        <v>2.621143146181083</v>
      </c>
    </row>
    <row r="1338" spans="1:9">
      <c r="A1338" s="1" t="s">
        <v>1350</v>
      </c>
      <c r="B1338">
        <f>HYPERLINK("https://www.suredividend.com/sure-analysis-research-database/","PROG Holdings Inc")</f>
        <v>0</v>
      </c>
      <c r="C1338">
        <v>0.036281179138321</v>
      </c>
      <c r="D1338">
        <v>0.148962916404777</v>
      </c>
      <c r="E1338">
        <v>0.03102086858432</v>
      </c>
      <c r="F1338">
        <v>0.082297217288336</v>
      </c>
      <c r="G1338">
        <v>-0.577926575848533</v>
      </c>
      <c r="H1338">
        <v>-0.6526695800874021</v>
      </c>
      <c r="I1338">
        <v>-0.68892889779068</v>
      </c>
    </row>
    <row r="1339" spans="1:9">
      <c r="A1339" s="1" t="s">
        <v>1351</v>
      </c>
      <c r="B1339">
        <f>HYPERLINK("https://www.suredividend.com/sure-analysis-research-database/","Progress Software Corp.")</f>
        <v>0</v>
      </c>
      <c r="C1339">
        <v>0.002901353965183</v>
      </c>
      <c r="D1339">
        <v>0.158894881417226</v>
      </c>
      <c r="E1339">
        <v>0.157950215957157</v>
      </c>
      <c r="F1339">
        <v>0.027750247770069</v>
      </c>
      <c r="G1339">
        <v>0.148793711212979</v>
      </c>
      <c r="H1339">
        <v>0.124899659384288</v>
      </c>
      <c r="I1339">
        <v>0.271556375193737</v>
      </c>
    </row>
    <row r="1340" spans="1:9">
      <c r="A1340" s="1" t="s">
        <v>1352</v>
      </c>
      <c r="B1340">
        <f>HYPERLINK("https://www.suredividend.com/sure-analysis-research-database/","Primoris Services Corp")</f>
        <v>0</v>
      </c>
      <c r="C1340">
        <v>0.117582318959694</v>
      </c>
      <c r="D1340">
        <v>0.384265245347265</v>
      </c>
      <c r="E1340">
        <v>0.07109227871939701</v>
      </c>
      <c r="F1340">
        <v>0.078395624430264</v>
      </c>
      <c r="G1340">
        <v>-0.057832217678189</v>
      </c>
      <c r="H1340">
        <v>-0.211777365417481</v>
      </c>
      <c r="I1340">
        <v>-0.053880051504754</v>
      </c>
    </row>
    <row r="1341" spans="1:9">
      <c r="A1341" s="1" t="s">
        <v>1353</v>
      </c>
      <c r="B1341">
        <f>HYPERLINK("https://www.suredividend.com/sure-analysis-research-database/","Park National Corp.")</f>
        <v>0</v>
      </c>
      <c r="C1341">
        <v>-0.002279851809632</v>
      </c>
      <c r="D1341">
        <v>0.12370008987033</v>
      </c>
      <c r="E1341">
        <v>0.170776730603471</v>
      </c>
      <c r="F1341">
        <v>-0.005044404973357001</v>
      </c>
      <c r="G1341">
        <v>0.009645124590669001</v>
      </c>
      <c r="H1341">
        <v>0.366293222291926</v>
      </c>
      <c r="I1341">
        <v>0.6066763575118771</v>
      </c>
    </row>
    <row r="1342" spans="1:9">
      <c r="A1342" s="1" t="s">
        <v>1354</v>
      </c>
      <c r="B1342">
        <f>HYPERLINK("https://www.suredividend.com/sure-analysis-research-database/","Proto Labs Inc")</f>
        <v>0</v>
      </c>
      <c r="C1342">
        <v>0.053306613226453</v>
      </c>
      <c r="D1342">
        <v>-0.284508576095834</v>
      </c>
      <c r="E1342">
        <v>-0.451585976627712</v>
      </c>
      <c r="F1342">
        <v>0.029377203290246</v>
      </c>
      <c r="G1342">
        <v>-0.496262219666475</v>
      </c>
      <c r="H1342">
        <v>-0.858489042054816</v>
      </c>
      <c r="I1342">
        <v>-0.7533552322853121</v>
      </c>
    </row>
    <row r="1343" spans="1:9">
      <c r="A1343" s="1" t="s">
        <v>1355</v>
      </c>
      <c r="B1343">
        <f>HYPERLINK("https://www.suredividend.com/sure-analysis-research-database/","Prelude Therapeutics Inc")</f>
        <v>0</v>
      </c>
      <c r="C1343">
        <v>-0.06827309236947801</v>
      </c>
      <c r="D1343">
        <v>-0.33428981348637</v>
      </c>
      <c r="E1343">
        <v>-0.143911439114391</v>
      </c>
      <c r="F1343">
        <v>-0.231788079470198</v>
      </c>
      <c r="G1343">
        <v>-0.5383084577114421</v>
      </c>
      <c r="H1343">
        <v>-0.930183569064098</v>
      </c>
      <c r="I1343">
        <v>-0.822900763358778</v>
      </c>
    </row>
    <row r="1344" spans="1:9">
      <c r="A1344" s="1" t="s">
        <v>1356</v>
      </c>
      <c r="B1344">
        <f>HYPERLINK("https://www.suredividend.com/sure-analysis-research-database/","Primo Water Corporation")</f>
        <v>0</v>
      </c>
      <c r="C1344">
        <v>0.031331592689294</v>
      </c>
      <c r="D1344">
        <v>0.221907722766151</v>
      </c>
      <c r="E1344">
        <v>0.186070428561776</v>
      </c>
      <c r="F1344">
        <v>0.016731016731016</v>
      </c>
      <c r="G1344">
        <v>-0.07204021942137501</v>
      </c>
      <c r="H1344">
        <v>0.012573860213537</v>
      </c>
      <c r="I1344">
        <v>-0.029370749657515</v>
      </c>
    </row>
    <row r="1345" spans="1:9">
      <c r="A1345" s="1" t="s">
        <v>1357</v>
      </c>
      <c r="B1345">
        <f>HYPERLINK("https://www.suredividend.com/sure-analysis-research-database/","Pros Holdings Inc")</f>
        <v>0</v>
      </c>
      <c r="C1345">
        <v>0.105189990732159</v>
      </c>
      <c r="D1345">
        <v>-0.080570547417116</v>
      </c>
      <c r="E1345">
        <v>-0.174168975069252</v>
      </c>
      <c r="F1345">
        <v>-0.016900247320692</v>
      </c>
      <c r="G1345">
        <v>-0.246445497630331</v>
      </c>
      <c r="H1345">
        <v>-0.513265306122449</v>
      </c>
      <c r="I1345">
        <v>-0.114699331848552</v>
      </c>
    </row>
    <row r="1346" spans="1:9">
      <c r="A1346" s="1" t="s">
        <v>1358</v>
      </c>
      <c r="B1346">
        <f>HYPERLINK("https://www.suredividend.com/sure-analysis-research-database/","Purple Innovation Inc")</f>
        <v>0</v>
      </c>
      <c r="C1346">
        <v>-0.048964218455743</v>
      </c>
      <c r="D1346">
        <v>0.288265306122448</v>
      </c>
      <c r="E1346">
        <v>0.430594900849858</v>
      </c>
      <c r="F1346">
        <v>0.054279749478079</v>
      </c>
      <c r="G1346">
        <v>-0.5668953687821611</v>
      </c>
      <c r="H1346">
        <v>-0.852812591081317</v>
      </c>
      <c r="I1346">
        <v>-0.493987975951903</v>
      </c>
    </row>
    <row r="1347" spans="1:9">
      <c r="A1347" s="1" t="s">
        <v>1359</v>
      </c>
      <c r="B1347">
        <f>HYPERLINK("https://www.suredividend.com/sure-analysis-research-database/","Prothena Corporation plc")</f>
        <v>0</v>
      </c>
      <c r="C1347">
        <v>-0.101267991775188</v>
      </c>
      <c r="D1347">
        <v>-0.067389758179231</v>
      </c>
      <c r="E1347">
        <v>0.6656081295649411</v>
      </c>
      <c r="F1347">
        <v>-0.129460580912863</v>
      </c>
      <c r="G1347">
        <v>0.273367322165574</v>
      </c>
      <c r="H1347">
        <v>3.091263650546022</v>
      </c>
      <c r="I1347">
        <v>0.416801728795245</v>
      </c>
    </row>
    <row r="1348" spans="1:9">
      <c r="A1348" s="1" t="s">
        <v>1360</v>
      </c>
      <c r="B1348">
        <f>HYPERLINK("https://www.suredividend.com/sure-analysis-research-database/","Portage Biotech Inc")</f>
        <v>0</v>
      </c>
      <c r="C1348">
        <v>0.07387387387387401</v>
      </c>
      <c r="D1348">
        <v>-0.09696969696969601</v>
      </c>
      <c r="E1348">
        <v>-0.287933094384707</v>
      </c>
      <c r="F1348">
        <v>0.126845777164356</v>
      </c>
      <c r="G1348">
        <v>-0.462093862815884</v>
      </c>
      <c r="H1348">
        <v>33.05714285714286</v>
      </c>
      <c r="I1348">
        <v>33.05714285714286</v>
      </c>
    </row>
    <row r="1349" spans="1:9">
      <c r="A1349" s="1" t="s">
        <v>1361</v>
      </c>
      <c r="B1349">
        <f>HYPERLINK("https://www.suredividend.com/sure-analysis-research-database/","Priority Technology Holdings Inc")</f>
        <v>0</v>
      </c>
      <c r="C1349">
        <v>-0.052252252252252</v>
      </c>
      <c r="D1349">
        <v>0.345268542199488</v>
      </c>
      <c r="E1349">
        <v>0.335025380710659</v>
      </c>
      <c r="F1349">
        <v>0</v>
      </c>
      <c r="G1349">
        <v>-0.181959564541213</v>
      </c>
      <c r="H1349">
        <v>-0.295850066934404</v>
      </c>
      <c r="I1349">
        <v>-0.48430866969284</v>
      </c>
    </row>
    <row r="1350" spans="1:9">
      <c r="A1350" s="1" t="s">
        <v>1362</v>
      </c>
      <c r="B1350">
        <f>HYPERLINK("https://www.suredividend.com/sure-analysis-research-database/","Paratek Pharmaceuticals Inc.")</f>
        <v>0</v>
      </c>
      <c r="C1350">
        <v>0.147208121827411</v>
      </c>
      <c r="D1350">
        <v>-0.246666666666666</v>
      </c>
      <c r="E1350">
        <v>-0.110236220472441</v>
      </c>
      <c r="F1350">
        <v>0.20855614973262</v>
      </c>
      <c r="G1350">
        <v>-0.496659242761692</v>
      </c>
      <c r="H1350">
        <v>-0.641838351822503</v>
      </c>
      <c r="I1350">
        <v>-0.875138121546961</v>
      </c>
    </row>
    <row r="1351" spans="1:9">
      <c r="A1351" s="1" t="s">
        <v>1363</v>
      </c>
      <c r="B1351">
        <f>HYPERLINK("https://www.suredividend.com/sure-analysis-research-database/","CarParts.com Inc")</f>
        <v>0</v>
      </c>
      <c r="C1351">
        <v>0.10327868852459</v>
      </c>
      <c r="D1351">
        <v>0.419831223628692</v>
      </c>
      <c r="E1351">
        <v>-0.103861517976031</v>
      </c>
      <c r="F1351">
        <v>0.075079872204472</v>
      </c>
      <c r="G1351">
        <v>-0.401777777777777</v>
      </c>
      <c r="H1351">
        <v>-0.5209964412811381</v>
      </c>
      <c r="I1351">
        <v>1.670634920634921</v>
      </c>
    </row>
    <row r="1352" spans="1:9">
      <c r="A1352" s="1" t="s">
        <v>1364</v>
      </c>
      <c r="B1352">
        <f>HYPERLINK("https://www.suredividend.com/sure-analysis-research-database/","Party City Holdco Inc")</f>
        <v>0</v>
      </c>
      <c r="C1352">
        <v>-0.588970442372545</v>
      </c>
      <c r="D1352">
        <v>-0.8627814569536421</v>
      </c>
      <c r="E1352">
        <v>-0.852</v>
      </c>
      <c r="F1352">
        <v>-0.433105335157318</v>
      </c>
      <c r="G1352">
        <v>-0.967574334898278</v>
      </c>
      <c r="H1352">
        <v>-0.9740025094102881</v>
      </c>
      <c r="I1352">
        <v>-0.9849309090909091</v>
      </c>
    </row>
    <row r="1353" spans="1:9">
      <c r="A1353" s="1" t="s">
        <v>1365</v>
      </c>
      <c r="B1353">
        <f>HYPERLINK("https://www.suredividend.com/sure-analysis-research-database/","Privia Health Group Inc")</f>
        <v>0</v>
      </c>
      <c r="C1353">
        <v>-0.046936114732724</v>
      </c>
      <c r="D1353">
        <v>-0.35820895522388</v>
      </c>
      <c r="E1353">
        <v>-0.347903657448706</v>
      </c>
      <c r="F1353">
        <v>-0.034346103038309</v>
      </c>
      <c r="G1353">
        <v>-0.026198934280639</v>
      </c>
      <c r="H1353">
        <v>-0.368920863309352</v>
      </c>
      <c r="I1353">
        <v>-0.368920863309352</v>
      </c>
    </row>
    <row r="1354" spans="1:9">
      <c r="A1354" s="1" t="s">
        <v>1366</v>
      </c>
      <c r="B1354">
        <f>HYPERLINK("https://www.suredividend.com/sure-analysis-research-database/","Provention Bio Inc")</f>
        <v>0</v>
      </c>
      <c r="C1354">
        <v>-0.020408163265306</v>
      </c>
      <c r="D1354">
        <v>0.248554913294797</v>
      </c>
      <c r="E1354">
        <v>0.8947368421052631</v>
      </c>
      <c r="F1354">
        <v>-0.182592242194891</v>
      </c>
      <c r="G1354">
        <v>0.6520076481835561</v>
      </c>
      <c r="H1354">
        <v>-0.509090909090909</v>
      </c>
      <c r="I1354">
        <v>0.796257796257796</v>
      </c>
    </row>
    <row r="1355" spans="1:9">
      <c r="A1355" s="1" t="s">
        <v>1367</v>
      </c>
      <c r="B1355">
        <f>HYPERLINK("https://www.suredividend.com/sure-analysis-PSB/","PS Business Parks, Inc.")</f>
        <v>0</v>
      </c>
      <c r="C1355">
        <v>0.009343861871098001</v>
      </c>
      <c r="D1355">
        <v>0.122128452098513</v>
      </c>
      <c r="E1355">
        <v>0.116861728180261</v>
      </c>
      <c r="F1355">
        <v>0.031597914569559</v>
      </c>
      <c r="G1355">
        <v>0.29709171609303</v>
      </c>
      <c r="H1355">
        <v>0.5444855340439411</v>
      </c>
      <c r="I1355">
        <v>0.6893837588788631</v>
      </c>
    </row>
    <row r="1356" spans="1:9">
      <c r="A1356" s="1" t="s">
        <v>1368</v>
      </c>
      <c r="B1356">
        <f>HYPERLINK("https://www.suredividend.com/sure-analysis-research-database/","Pricesmart Inc.")</f>
        <v>0</v>
      </c>
      <c r="C1356">
        <v>-0.041451563923474</v>
      </c>
      <c r="D1356">
        <v>0.08582731338149301</v>
      </c>
      <c r="E1356">
        <v>-0.125890828430632</v>
      </c>
      <c r="F1356">
        <v>0.038664034221783</v>
      </c>
      <c r="G1356">
        <v>-0.138642649263964</v>
      </c>
      <c r="H1356">
        <v>-0.350943101367204</v>
      </c>
      <c r="I1356">
        <v>-0.192205867863664</v>
      </c>
    </row>
    <row r="1357" spans="1:9">
      <c r="A1357" s="1" t="s">
        <v>1369</v>
      </c>
      <c r="B1357">
        <f>HYPERLINK("https://www.suredividend.com/sure-analysis-research-database/","Parsons Corp")</f>
        <v>0</v>
      </c>
      <c r="C1357">
        <v>-0.075186368477103</v>
      </c>
      <c r="D1357">
        <v>0.046013008913514</v>
      </c>
      <c r="E1357">
        <v>0.057219381543705</v>
      </c>
      <c r="F1357">
        <v>-0.061189189189189</v>
      </c>
      <c r="G1357">
        <v>0.308619650391802</v>
      </c>
      <c r="H1357">
        <v>0.181496598639455</v>
      </c>
      <c r="I1357">
        <v>0.443964083804456</v>
      </c>
    </row>
    <row r="1358" spans="1:9">
      <c r="A1358" s="1" t="s">
        <v>1370</v>
      </c>
      <c r="B1358">
        <f>HYPERLINK("https://www.suredividend.com/sure-analysis-research-database/","Personalis Inc")</f>
        <v>0</v>
      </c>
      <c r="C1358">
        <v>-0.02880658436214</v>
      </c>
      <c r="D1358">
        <v>-0.248407643312102</v>
      </c>
      <c r="E1358">
        <v>-0.414392059553349</v>
      </c>
      <c r="F1358">
        <v>0.191919191919191</v>
      </c>
      <c r="G1358">
        <v>-0.817337461300309</v>
      </c>
      <c r="H1358">
        <v>-0.9344262295081961</v>
      </c>
      <c r="I1358">
        <v>-0.9171639171639171</v>
      </c>
    </row>
    <row r="1359" spans="1:9">
      <c r="A1359" s="1" t="s">
        <v>1371</v>
      </c>
      <c r="B1359">
        <f>HYPERLINK("https://www.suredividend.com/sure-analysis-research-database/","Postal Realty Trust Inc")</f>
        <v>0</v>
      </c>
      <c r="C1359">
        <v>-0.024584717607973</v>
      </c>
      <c r="D1359">
        <v>-0.004077312908324001</v>
      </c>
      <c r="E1359">
        <v>-0.002310724480087</v>
      </c>
      <c r="F1359">
        <v>0.010323468685478</v>
      </c>
      <c r="G1359">
        <v>-0.190301265292164</v>
      </c>
      <c r="H1359">
        <v>0.037932619224378</v>
      </c>
      <c r="I1359">
        <v>0.019331185423841</v>
      </c>
    </row>
    <row r="1360" spans="1:9">
      <c r="A1360" s="1" t="s">
        <v>1372</v>
      </c>
      <c r="B1360">
        <f>HYPERLINK("https://www.suredividend.com/sure-analysis-research-database/","Poseida Therapeutics Inc")</f>
        <v>0</v>
      </c>
      <c r="C1360">
        <v>0.105263157894736</v>
      </c>
      <c r="D1360">
        <v>0.5</v>
      </c>
      <c r="E1360">
        <v>1.290909090909091</v>
      </c>
      <c r="F1360">
        <v>0.188679245283018</v>
      </c>
      <c r="G1360">
        <v>-0.014084507042253</v>
      </c>
      <c r="H1360">
        <v>-0.321120689655172</v>
      </c>
      <c r="I1360">
        <v>-0.5895765472312701</v>
      </c>
    </row>
    <row r="1361" spans="1:9">
      <c r="A1361" s="1" t="s">
        <v>1373</v>
      </c>
      <c r="B1361">
        <f>HYPERLINK("https://www.suredividend.com/sure-analysis-research-database/","PTC Therapeutics Inc")</f>
        <v>0</v>
      </c>
      <c r="C1361">
        <v>0.09071840587309901</v>
      </c>
      <c r="D1361">
        <v>-0.169494909163505</v>
      </c>
      <c r="E1361">
        <v>-0.069975408003576</v>
      </c>
      <c r="F1361">
        <v>0.089861147498035</v>
      </c>
      <c r="G1361">
        <v>0.09186351706036701</v>
      </c>
      <c r="H1361">
        <v>-0.384433264279372</v>
      </c>
      <c r="I1361">
        <v>1.012578616352201</v>
      </c>
    </row>
    <row r="1362" spans="1:9">
      <c r="A1362" s="1" t="s">
        <v>1374</v>
      </c>
      <c r="B1362">
        <f>HYPERLINK("https://www.suredividend.com/sure-analysis-research-database/","Patterson-UTI Energy Inc")</f>
        <v>0</v>
      </c>
      <c r="C1362">
        <v>0.117647058823529</v>
      </c>
      <c r="D1362">
        <v>0.202142766756183</v>
      </c>
      <c r="E1362">
        <v>0.213049862733831</v>
      </c>
      <c r="F1362">
        <v>0.015439429928741</v>
      </c>
      <c r="G1362">
        <v>0.7956714866269731</v>
      </c>
      <c r="H1362">
        <v>1.820897738332866</v>
      </c>
      <c r="I1362">
        <v>-0.225266286397759</v>
      </c>
    </row>
    <row r="1363" spans="1:9">
      <c r="A1363" s="1" t="s">
        <v>1375</v>
      </c>
      <c r="B1363">
        <f>HYPERLINK("https://www.suredividend.com/sure-analysis-research-database/","Protagonist Therapeutics Inc")</f>
        <v>0</v>
      </c>
      <c r="C1363">
        <v>0.498018494055482</v>
      </c>
      <c r="D1363">
        <v>0.364620938628158</v>
      </c>
      <c r="E1363">
        <v>0.178794178794178</v>
      </c>
      <c r="F1363">
        <v>0.039413382218148</v>
      </c>
      <c r="G1363">
        <v>-0.6746987951807221</v>
      </c>
      <c r="H1363">
        <v>-0.450847457627118</v>
      </c>
      <c r="I1363">
        <v>-0.428139183055975</v>
      </c>
    </row>
    <row r="1364" spans="1:9">
      <c r="A1364" s="1" t="s">
        <v>1376</v>
      </c>
      <c r="B1364">
        <f>HYPERLINK("https://www.suredividend.com/sure-analysis-research-database/","Portillos Inc")</f>
        <v>0</v>
      </c>
      <c r="C1364">
        <v>-0.027457440966501</v>
      </c>
      <c r="D1364">
        <v>-0.120218579234972</v>
      </c>
      <c r="E1364">
        <v>-0.022626931567328</v>
      </c>
      <c r="F1364">
        <v>0.08517156862745101</v>
      </c>
      <c r="G1364">
        <v>-0.4751037344398341</v>
      </c>
      <c r="H1364">
        <v>-0.3914089347079031</v>
      </c>
      <c r="I1364">
        <v>-0.3914089347079031</v>
      </c>
    </row>
    <row r="1365" spans="1:9">
      <c r="A1365" s="1" t="s">
        <v>1377</v>
      </c>
      <c r="B1365">
        <f>HYPERLINK("https://www.suredividend.com/sure-analysis-research-database/","P.A.M. Transportation Services, Inc.")</f>
        <v>0</v>
      </c>
      <c r="C1365">
        <v>-0.04102946661693301</v>
      </c>
      <c r="D1365">
        <v>-0.213280293757649</v>
      </c>
      <c r="E1365">
        <v>-0.090555359037849</v>
      </c>
      <c r="F1365">
        <v>-0.007335907335907</v>
      </c>
      <c r="G1365">
        <v>-0.216278006401463</v>
      </c>
      <c r="H1365">
        <v>1.036435643564356</v>
      </c>
      <c r="I1365">
        <v>1.672557172557172</v>
      </c>
    </row>
    <row r="1366" spans="1:9">
      <c r="A1366" s="1" t="s">
        <v>1378</v>
      </c>
      <c r="B1366">
        <f>HYPERLINK("https://www.suredividend.com/sure-analysis-research-database/","Pactiv Evergreen Inc")</f>
        <v>0</v>
      </c>
      <c r="C1366">
        <v>-0.022823330515638</v>
      </c>
      <c r="D1366">
        <v>0.311728395061728</v>
      </c>
      <c r="E1366">
        <v>0.280333152432743</v>
      </c>
      <c r="F1366">
        <v>0.017605633802816</v>
      </c>
      <c r="G1366">
        <v>-0.05412592562287701</v>
      </c>
      <c r="H1366">
        <v>-0.234026199484491</v>
      </c>
      <c r="I1366">
        <v>0.129689530827038</v>
      </c>
    </row>
    <row r="1367" spans="1:9">
      <c r="A1367" s="1" t="s">
        <v>1379</v>
      </c>
      <c r="B1367">
        <f>HYPERLINK("https://www.suredividend.com/sure-analysis-research-database/","ProPetro Holding Corp")</f>
        <v>0</v>
      </c>
      <c r="C1367">
        <v>0.096982758620689</v>
      </c>
      <c r="D1367">
        <v>0.018</v>
      </c>
      <c r="E1367">
        <v>0.110141766630316</v>
      </c>
      <c r="F1367">
        <v>-0.018322082931533</v>
      </c>
      <c r="G1367">
        <v>0.06041666666666601</v>
      </c>
      <c r="H1367">
        <v>0.235436893203883</v>
      </c>
      <c r="I1367">
        <v>-0.482723577235772</v>
      </c>
    </row>
    <row r="1368" spans="1:9">
      <c r="A1368" s="1" t="s">
        <v>1380</v>
      </c>
      <c r="B1368">
        <f>HYPERLINK("https://www.suredividend.com/sure-analysis-research-database/","Provident Bancorp Inc")</f>
        <v>0</v>
      </c>
      <c r="C1368">
        <v>0.010028653295128</v>
      </c>
      <c r="D1368">
        <v>-0.503171247357293</v>
      </c>
      <c r="E1368">
        <v>-0.540970797929485</v>
      </c>
      <c r="F1368">
        <v>-0.031593406593406</v>
      </c>
      <c r="G1368">
        <v>-0.6231437826742351</v>
      </c>
      <c r="H1368">
        <v>-0.4132481086614561</v>
      </c>
      <c r="I1368">
        <v>-0.330395304218984</v>
      </c>
    </row>
    <row r="1369" spans="1:9">
      <c r="A1369" s="1" t="s">
        <v>1381</v>
      </c>
      <c r="B1369">
        <f>HYPERLINK("https://www.suredividend.com/sure-analysis-research-database/","PowerSchool Holdings Inc")</f>
        <v>0</v>
      </c>
      <c r="C1369">
        <v>0.134529147982062</v>
      </c>
      <c r="D1369">
        <v>0.348933649289099</v>
      </c>
      <c r="E1369">
        <v>0.695457930007445</v>
      </c>
      <c r="F1369">
        <v>-0.013431542461005</v>
      </c>
      <c r="G1369">
        <v>0.621794871794871</v>
      </c>
      <c r="H1369">
        <v>0.264999999999999</v>
      </c>
      <c r="I1369">
        <v>0.264999999999999</v>
      </c>
    </row>
    <row r="1370" spans="1:9">
      <c r="A1370" s="1" t="s">
        <v>1382</v>
      </c>
      <c r="B1370">
        <f>HYPERLINK("https://www.suredividend.com/sure-analysis-research-database/","Pyxis Oncology Inc")</f>
        <v>0</v>
      </c>
      <c r="C1370">
        <v>0.185483870967742</v>
      </c>
      <c r="D1370">
        <v>-0.174157303370786</v>
      </c>
      <c r="E1370">
        <v>-0.4673913043478261</v>
      </c>
      <c r="F1370">
        <v>0.09701492537313401</v>
      </c>
      <c r="G1370">
        <v>-0.8544554455445541</v>
      </c>
      <c r="H1370">
        <v>-0.8886363636363631</v>
      </c>
      <c r="I1370">
        <v>-0.8886363636363631</v>
      </c>
    </row>
    <row r="1371" spans="1:9">
      <c r="A1371" s="1" t="s">
        <v>1383</v>
      </c>
      <c r="B1371">
        <f>HYPERLINK("https://www.suredividend.com/sure-analysis-research-database/","Pzena Investment Management Inc")</f>
        <v>0</v>
      </c>
      <c r="C1371">
        <v>0.012591815320042</v>
      </c>
      <c r="D1371">
        <v>0.026573902682921</v>
      </c>
      <c r="E1371">
        <v>0.539050413868997</v>
      </c>
      <c r="F1371">
        <v>0.08135365307037201</v>
      </c>
      <c r="G1371">
        <v>-0.058784515298409</v>
      </c>
      <c r="H1371">
        <v>1.042025520028779</v>
      </c>
      <c r="I1371">
        <v>0.054448900204333</v>
      </c>
    </row>
    <row r="1372" spans="1:9">
      <c r="A1372" s="1" t="s">
        <v>1384</v>
      </c>
      <c r="B1372">
        <f>HYPERLINK("https://www.suredividend.com/sure-analysis-research-database/","Papa John`s International, Inc.")</f>
        <v>0</v>
      </c>
      <c r="C1372">
        <v>-0.041598119858989</v>
      </c>
      <c r="D1372">
        <v>0.200101823254253</v>
      </c>
      <c r="E1372">
        <v>-0.044897767993067</v>
      </c>
      <c r="F1372">
        <v>-0.009111894059045</v>
      </c>
      <c r="G1372">
        <v>-0.346685325171439</v>
      </c>
      <c r="H1372">
        <v>-0.098721789472637</v>
      </c>
      <c r="I1372">
        <v>0.4697878935322841</v>
      </c>
    </row>
    <row r="1373" spans="1:9">
      <c r="A1373" s="1" t="s">
        <v>1385</v>
      </c>
      <c r="B1373">
        <f>HYPERLINK("https://www.suredividend.com/sure-analysis-research-database/","QCR Holding, Inc.")</f>
        <v>0</v>
      </c>
      <c r="C1373">
        <v>0.006970233674227001</v>
      </c>
      <c r="D1373">
        <v>-0.058639061042535</v>
      </c>
      <c r="E1373">
        <v>-0.08630061913084601</v>
      </c>
      <c r="F1373">
        <v>-0.005842062852538001</v>
      </c>
      <c r="G1373">
        <v>-0.162557229498348</v>
      </c>
      <c r="H1373">
        <v>0.243185780070737</v>
      </c>
      <c r="I1373">
        <v>0.200198452266879</v>
      </c>
    </row>
    <row r="1374" spans="1:9">
      <c r="A1374" s="1" t="s">
        <v>1386</v>
      </c>
      <c r="B1374">
        <f>HYPERLINK("https://www.suredividend.com/sure-analysis-research-database/","Qualys Inc")</f>
        <v>0</v>
      </c>
      <c r="C1374">
        <v>-0.108468529686571</v>
      </c>
      <c r="D1374">
        <v>-0.237153862926084</v>
      </c>
      <c r="E1374">
        <v>-0.206891340486625</v>
      </c>
      <c r="F1374">
        <v>-0.06477768867504201</v>
      </c>
      <c r="G1374">
        <v>-0.164730224415088</v>
      </c>
      <c r="H1374">
        <v>-0.140939597315436</v>
      </c>
      <c r="I1374">
        <v>0.6673550436854641</v>
      </c>
    </row>
    <row r="1375" spans="1:9">
      <c r="A1375" s="1" t="s">
        <v>1387</v>
      </c>
      <c r="B1375">
        <f>HYPERLINK("https://www.suredividend.com/sure-analysis-research-database/","Quantum Corp")</f>
        <v>0</v>
      </c>
      <c r="C1375">
        <v>0.09090909090909001</v>
      </c>
      <c r="D1375">
        <v>0.008403361344537001</v>
      </c>
      <c r="E1375">
        <v>-0.205298013245033</v>
      </c>
      <c r="F1375">
        <v>0.10091743119266</v>
      </c>
      <c r="G1375">
        <v>-0.779005524861878</v>
      </c>
      <c r="H1375">
        <v>-0.8219584569732931</v>
      </c>
      <c r="I1375">
        <v>-0.79381443298969</v>
      </c>
    </row>
    <row r="1376" spans="1:9">
      <c r="A1376" s="1" t="s">
        <v>1388</v>
      </c>
      <c r="B1376">
        <f>HYPERLINK("https://www.suredividend.com/sure-analysis-research-database/","QuinStreet Inc")</f>
        <v>0</v>
      </c>
      <c r="C1376">
        <v>0.151045701006971</v>
      </c>
      <c r="D1376">
        <v>0.400565504241281</v>
      </c>
      <c r="E1376">
        <v>0.400565504241281</v>
      </c>
      <c r="F1376">
        <v>0.035540069686411</v>
      </c>
      <c r="G1376">
        <v>-0.132516053706946</v>
      </c>
      <c r="H1376">
        <v>-0.308193668528864</v>
      </c>
      <c r="I1376">
        <v>0.5825346112886041</v>
      </c>
    </row>
    <row r="1377" spans="1:9">
      <c r="A1377" s="1" t="s">
        <v>1389</v>
      </c>
      <c r="B1377">
        <f>HYPERLINK("https://www.suredividend.com/sure-analysis-research-database/","Quotient Ltd")</f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</row>
    <row r="1378" spans="1:9">
      <c r="A1378" s="1" t="s">
        <v>1390</v>
      </c>
      <c r="B1378">
        <f>HYPERLINK("https://www.suredividend.com/sure-analysis-research-database/","Quanterix Corp")</f>
        <v>0</v>
      </c>
      <c r="C1378">
        <v>-0.002307692307692</v>
      </c>
      <c r="D1378">
        <v>0.248315688161693</v>
      </c>
      <c r="E1378">
        <v>-0.323422013562858</v>
      </c>
      <c r="F1378">
        <v>-0.06353790613718401</v>
      </c>
      <c r="G1378">
        <v>-0.62109260882267</v>
      </c>
      <c r="H1378">
        <v>-0.733894132129667</v>
      </c>
      <c r="I1378">
        <v>-0.356646825396825</v>
      </c>
    </row>
    <row r="1379" spans="1:9">
      <c r="A1379" s="1" t="s">
        <v>1391</v>
      </c>
      <c r="B1379">
        <f>HYPERLINK("https://www.suredividend.com/sure-analysis-research-database/","Q2 Holdings Inc")</f>
        <v>0</v>
      </c>
      <c r="C1379">
        <v>0.141333333333333</v>
      </c>
      <c r="D1379">
        <v>-0.096229260935143</v>
      </c>
      <c r="E1379">
        <v>-0.262432299359921</v>
      </c>
      <c r="F1379">
        <v>0.114998139188686</v>
      </c>
      <c r="G1379">
        <v>-0.6040179751519951</v>
      </c>
      <c r="H1379">
        <v>-0.7627306565296581</v>
      </c>
      <c r="I1379">
        <v>-0.2177545691906</v>
      </c>
    </row>
    <row r="1380" spans="1:9">
      <c r="A1380" s="1" t="s">
        <v>1392</v>
      </c>
      <c r="B1380">
        <f>HYPERLINK("https://www.suredividend.com/sure-analysis-research-database/","Quotient Technology Inc")</f>
        <v>0</v>
      </c>
      <c r="C1380">
        <v>0.022435897435897</v>
      </c>
      <c r="D1380">
        <v>0.405286343612334</v>
      </c>
      <c r="E1380">
        <v>0.052805280528052</v>
      </c>
      <c r="F1380">
        <v>-0.06997084548104901</v>
      </c>
      <c r="G1380">
        <v>-0.5659863945578231</v>
      </c>
      <c r="H1380">
        <v>-0.6774519716885741</v>
      </c>
      <c r="I1380">
        <v>-0.7296610169491521</v>
      </c>
    </row>
    <row r="1381" spans="1:9">
      <c r="A1381" s="1" t="s">
        <v>1393</v>
      </c>
      <c r="B1381">
        <f>HYPERLINK("https://www.suredividend.com/sure-analysis-research-database/","Rite Aid Corp.")</f>
        <v>0</v>
      </c>
      <c r="C1381">
        <v>-0.216216216216216</v>
      </c>
      <c r="D1381">
        <v>-0.25</v>
      </c>
      <c r="E1381">
        <v>-0.507779349363507</v>
      </c>
      <c r="F1381">
        <v>0.04191616766467</v>
      </c>
      <c r="G1381">
        <v>-0.732924021488871</v>
      </c>
      <c r="H1381">
        <v>-0.7919904363419</v>
      </c>
      <c r="I1381">
        <v>-0.9151219512195121</v>
      </c>
    </row>
    <row r="1382" spans="1:9">
      <c r="A1382" s="1" t="s">
        <v>1394</v>
      </c>
      <c r="B1382">
        <f>HYPERLINK("https://www.suredividend.com/sure-analysis-research-database/","Radius Global Infrastructure Inc")</f>
        <v>0</v>
      </c>
      <c r="C1382">
        <v>-0.028099173553719</v>
      </c>
      <c r="D1382">
        <v>0.344</v>
      </c>
      <c r="E1382">
        <v>-0.210208193418401</v>
      </c>
      <c r="F1382">
        <v>-0.005076142131979</v>
      </c>
      <c r="G1382">
        <v>-0.246636771300448</v>
      </c>
      <c r="H1382">
        <v>-0.101604278074866</v>
      </c>
      <c r="I1382">
        <v>0.344</v>
      </c>
    </row>
    <row r="1383" spans="1:9">
      <c r="A1383" s="1" t="s">
        <v>1395</v>
      </c>
      <c r="B1383">
        <f>HYPERLINK("https://www.suredividend.com/sure-analysis-research-database/","Rain Oncology Inc")</f>
        <v>0</v>
      </c>
      <c r="C1383">
        <v>0.6562054208273891</v>
      </c>
      <c r="D1383">
        <v>1.7</v>
      </c>
      <c r="E1383">
        <v>1.312749003984064</v>
      </c>
      <c r="F1383">
        <v>0.451249999999999</v>
      </c>
      <c r="G1383">
        <v>-0.033305578684429</v>
      </c>
      <c r="H1383">
        <v>-0.265189873417721</v>
      </c>
      <c r="I1383">
        <v>-0.265189873417721</v>
      </c>
    </row>
    <row r="1384" spans="1:9">
      <c r="A1384" s="1" t="s">
        <v>1396</v>
      </c>
      <c r="B1384">
        <f>HYPERLINK("https://www.suredividend.com/sure-analysis-research-database/","LiveRamp Holdings Inc")</f>
        <v>0</v>
      </c>
      <c r="C1384">
        <v>0.04220925011225801</v>
      </c>
      <c r="D1384">
        <v>0.28516057585825</v>
      </c>
      <c r="E1384">
        <v>-0.183608863876187</v>
      </c>
      <c r="F1384">
        <v>-0.009812286689419001</v>
      </c>
      <c r="G1384">
        <v>-0.493673647469458</v>
      </c>
      <c r="H1384">
        <v>-0.717261542209769</v>
      </c>
      <c r="I1384">
        <v>-0.518364805976343</v>
      </c>
    </row>
    <row r="1385" spans="1:9">
      <c r="A1385" s="1" t="s">
        <v>1397</v>
      </c>
      <c r="B1385">
        <f>HYPERLINK("https://www.suredividend.com/sure-analysis-research-database/","RAPT Therapeutics Inc")</f>
        <v>0</v>
      </c>
      <c r="C1385">
        <v>0.240914419695193</v>
      </c>
      <c r="D1385">
        <v>-0.061197339246119</v>
      </c>
      <c r="E1385">
        <v>0.029669260700389</v>
      </c>
      <c r="F1385">
        <v>0.069191919191919</v>
      </c>
      <c r="G1385">
        <v>-0.458290685772773</v>
      </c>
      <c r="H1385">
        <v>0.001893043066729</v>
      </c>
      <c r="I1385">
        <v>0.6284615384615381</v>
      </c>
    </row>
    <row r="1386" spans="1:9">
      <c r="A1386" s="1" t="s">
        <v>1398</v>
      </c>
      <c r="B1386">
        <f>HYPERLINK("https://www.suredividend.com/sure-analysis-research-database/","RBB Bancorp")</f>
        <v>0</v>
      </c>
      <c r="C1386">
        <v>-0.05537902859736701</v>
      </c>
      <c r="D1386">
        <v>0.03052962586971</v>
      </c>
      <c r="E1386">
        <v>0.006680566372708001</v>
      </c>
      <c r="F1386">
        <v>-0.001918465227817</v>
      </c>
      <c r="G1386">
        <v>-0.210606175555724</v>
      </c>
      <c r="H1386">
        <v>0.255285651379245</v>
      </c>
      <c r="I1386">
        <v>-0.133573706605824</v>
      </c>
    </row>
    <row r="1387" spans="1:9">
      <c r="A1387" s="1" t="s">
        <v>1399</v>
      </c>
      <c r="B1387">
        <f>HYPERLINK("https://www.suredividend.com/sure-analysis-research-database/","Ribbon Communications Inc")</f>
        <v>0</v>
      </c>
      <c r="C1387">
        <v>0.118320610687022</v>
      </c>
      <c r="D1387">
        <v>0.23109243697479</v>
      </c>
      <c r="E1387">
        <v>-0.07861635220125701</v>
      </c>
      <c r="F1387">
        <v>0.050179211469534</v>
      </c>
      <c r="G1387">
        <v>-0.5204582651391161</v>
      </c>
      <c r="H1387">
        <v>-0.5747460087082721</v>
      </c>
      <c r="I1387">
        <v>-0.6134564643799471</v>
      </c>
    </row>
    <row r="1388" spans="1:9">
      <c r="A1388" s="1" t="s">
        <v>1400</v>
      </c>
      <c r="B1388">
        <f>HYPERLINK("https://www.suredividend.com/sure-analysis-RBCAA/","Republic Bancorp, Inc. (KY)")</f>
        <v>0</v>
      </c>
      <c r="C1388">
        <v>-0.006487996365375</v>
      </c>
      <c r="D1388">
        <v>0.07143042312817201</v>
      </c>
      <c r="E1388">
        <v>-0.146740768573304</v>
      </c>
      <c r="F1388">
        <v>0.01001955034213</v>
      </c>
      <c r="G1388">
        <v>-0.185856397124002</v>
      </c>
      <c r="H1388">
        <v>0.145268734967135</v>
      </c>
      <c r="I1388">
        <v>0.207967382250215</v>
      </c>
    </row>
    <row r="1389" spans="1:9">
      <c r="A1389" s="1" t="s">
        <v>1401</v>
      </c>
      <c r="B1389">
        <f>HYPERLINK("https://www.suredividend.com/sure-analysis-research-database/","Ready Capital Corp")</f>
        <v>0</v>
      </c>
      <c r="C1389">
        <v>-0.08826116073229501</v>
      </c>
      <c r="D1389">
        <v>0.146358536313189</v>
      </c>
      <c r="E1389">
        <v>-0.007892957795942001</v>
      </c>
      <c r="F1389">
        <v>0.014362657091562</v>
      </c>
      <c r="G1389">
        <v>-0.191291714676266</v>
      </c>
      <c r="H1389">
        <v>0.200684283786511</v>
      </c>
      <c r="I1389">
        <v>-0.210425182545505</v>
      </c>
    </row>
    <row r="1390" spans="1:9">
      <c r="A1390" s="1" t="s">
        <v>1402</v>
      </c>
      <c r="B1390">
        <f>HYPERLINK("https://www.suredividend.com/sure-analysis-research-database/","AVITA Medical Inc")</f>
        <v>0</v>
      </c>
      <c r="C1390">
        <v>0.08295625942684701</v>
      </c>
      <c r="D1390">
        <v>0.492723492723492</v>
      </c>
      <c r="E1390">
        <v>0.184818481848184</v>
      </c>
      <c r="F1390">
        <v>0.087878787878787</v>
      </c>
      <c r="G1390">
        <v>-0.364601769911504</v>
      </c>
      <c r="H1390">
        <v>-0.6188959660297241</v>
      </c>
      <c r="I1390">
        <v>-0.76489849377865</v>
      </c>
    </row>
    <row r="1391" spans="1:9">
      <c r="A1391" s="1" t="s">
        <v>1403</v>
      </c>
      <c r="B1391">
        <f>HYPERLINK("https://www.suredividend.com/sure-analysis-research-database/","Rent-a-Center Inc.")</f>
        <v>0</v>
      </c>
      <c r="C1391">
        <v>0.03936036726635801</v>
      </c>
      <c r="D1391">
        <v>0.291032985972583</v>
      </c>
      <c r="E1391">
        <v>0.218856875969887</v>
      </c>
      <c r="F1391">
        <v>0.07627494456762701</v>
      </c>
      <c r="G1391">
        <v>-0.44483204282136</v>
      </c>
      <c r="H1391">
        <v>-0.377508752580889</v>
      </c>
      <c r="I1391">
        <v>1.515521190700759</v>
      </c>
    </row>
    <row r="1392" spans="1:9">
      <c r="A1392" s="1" t="s">
        <v>1404</v>
      </c>
      <c r="B1392">
        <f>HYPERLINK("https://www.suredividend.com/sure-analysis-research-database/","Rocket Pharmaceuticals Inc")</f>
        <v>0</v>
      </c>
      <c r="C1392">
        <v>-0.010526315789473</v>
      </c>
      <c r="D1392">
        <v>0.100702576112412</v>
      </c>
      <c r="E1392">
        <v>0.12845138055222</v>
      </c>
      <c r="F1392">
        <v>-0.039345937659683</v>
      </c>
      <c r="G1392">
        <v>-0.08471275559883101</v>
      </c>
      <c r="H1392">
        <v>-0.6697118763176381</v>
      </c>
      <c r="I1392">
        <v>0.5359477124183001</v>
      </c>
    </row>
    <row r="1393" spans="1:9">
      <c r="A1393" s="1" t="s">
        <v>1405</v>
      </c>
      <c r="B1393">
        <f>HYPERLINK("https://www.suredividend.com/sure-analysis-research-database/","Rocky Brands, Inc")</f>
        <v>0</v>
      </c>
      <c r="C1393">
        <v>0.147950819672131</v>
      </c>
      <c r="D1393">
        <v>0.4372799950739421</v>
      </c>
      <c r="E1393">
        <v>-0.143459128536174</v>
      </c>
      <c r="F1393">
        <v>0.185859441151566</v>
      </c>
      <c r="G1393">
        <v>-0.380121851092034</v>
      </c>
      <c r="H1393">
        <v>-0.061905527422768</v>
      </c>
      <c r="I1393">
        <v>0.551645819253481</v>
      </c>
    </row>
    <row r="1394" spans="1:9">
      <c r="A1394" s="1" t="s">
        <v>1406</v>
      </c>
      <c r="B1394">
        <f>HYPERLINK("https://www.suredividend.com/sure-analysis-research-database/","R1 RCM Inc.")</f>
        <v>0</v>
      </c>
      <c r="C1394">
        <v>0.210679611650485</v>
      </c>
      <c r="D1394">
        <v>-0.309141274238227</v>
      </c>
      <c r="E1394">
        <v>-0.472057578323454</v>
      </c>
      <c r="F1394">
        <v>0.138812785388128</v>
      </c>
      <c r="G1394">
        <v>-0.390220048899755</v>
      </c>
      <c r="H1394">
        <v>-0.390220048899755</v>
      </c>
      <c r="I1394">
        <v>-0.390220048899755</v>
      </c>
    </row>
    <row r="1395" spans="1:9">
      <c r="A1395" s="1" t="s">
        <v>1407</v>
      </c>
      <c r="B1395">
        <f>HYPERLINK("https://www.suredividend.com/sure-analysis-research-database/","Arcus Biosciences Inc")</f>
        <v>0</v>
      </c>
      <c r="C1395">
        <v>-0.423823626192826</v>
      </c>
      <c r="D1395">
        <v>-0.345909600298841</v>
      </c>
      <c r="E1395">
        <v>-0.391591382904795</v>
      </c>
      <c r="F1395">
        <v>-0.153288201160541</v>
      </c>
      <c r="G1395">
        <v>-0.531316916488222</v>
      </c>
      <c r="H1395">
        <v>-0.432046707752189</v>
      </c>
      <c r="I1395">
        <v>0.03</v>
      </c>
    </row>
    <row r="1396" spans="1:9">
      <c r="A1396" s="1" t="s">
        <v>1408</v>
      </c>
      <c r="B1396">
        <f>HYPERLINK("https://www.suredividend.com/sure-analysis-research-database/","Redfin Corp")</f>
        <v>0</v>
      </c>
      <c r="C1396">
        <v>0.077405857740585</v>
      </c>
      <c r="D1396">
        <v>-0.009615384615384</v>
      </c>
      <c r="E1396">
        <v>-0.457894736842105</v>
      </c>
      <c r="F1396">
        <v>0.214622641509433</v>
      </c>
      <c r="G1396">
        <v>-0.8445986722993361</v>
      </c>
      <c r="H1396">
        <v>-0.932688537446085</v>
      </c>
      <c r="I1396">
        <v>-0.808763460824359</v>
      </c>
    </row>
    <row r="1397" spans="1:9">
      <c r="A1397" s="1" t="s">
        <v>1409</v>
      </c>
      <c r="B1397">
        <f>HYPERLINK("https://www.suredividend.com/sure-analysis-research-database/","Radian Group, Inc.")</f>
        <v>0</v>
      </c>
      <c r="C1397">
        <v>0.026172300981461</v>
      </c>
      <c r="D1397">
        <v>-0.04470884431089001</v>
      </c>
      <c r="E1397">
        <v>-0.06332276543750501</v>
      </c>
      <c r="F1397">
        <v>-0.013109596224436</v>
      </c>
      <c r="G1397">
        <v>-0.134318609390021</v>
      </c>
      <c r="H1397">
        <v>-0.05557646468448101</v>
      </c>
      <c r="I1397">
        <v>-0.048254796654226</v>
      </c>
    </row>
    <row r="1398" spans="1:9">
      <c r="A1398" s="1" t="s">
        <v>1410</v>
      </c>
      <c r="B1398">
        <f>HYPERLINK("https://www.suredividend.com/sure-analysis-research-database/","Radnet Inc")</f>
        <v>0</v>
      </c>
      <c r="C1398">
        <v>-0.04714142427281801</v>
      </c>
      <c r="D1398">
        <v>0.0005265929436540001</v>
      </c>
      <c r="E1398">
        <v>0.039956212370005</v>
      </c>
      <c r="F1398">
        <v>0.009028146574615</v>
      </c>
      <c r="G1398">
        <v>-0.287321830457614</v>
      </c>
      <c r="H1398">
        <v>-0.06033630069238301</v>
      </c>
      <c r="I1398">
        <v>0.8719211822660091</v>
      </c>
    </row>
    <row r="1399" spans="1:9">
      <c r="A1399" s="1" t="s">
        <v>1411</v>
      </c>
      <c r="B1399">
        <f>HYPERLINK("https://www.suredividend.com/sure-analysis-research-database/","Radius Health Inc.")</f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</row>
    <row r="1400" spans="1:9">
      <c r="A1400" s="1" t="s">
        <v>1412</v>
      </c>
      <c r="B1400">
        <f>HYPERLINK("https://www.suredividend.com/sure-analysis-research-database/","Therealreal Inc")</f>
        <v>0</v>
      </c>
      <c r="C1400">
        <v>-0.176056338028169</v>
      </c>
      <c r="D1400">
        <v>-0.21476510067114</v>
      </c>
      <c r="E1400">
        <v>-0.600682593856655</v>
      </c>
      <c r="F1400">
        <v>-0.064</v>
      </c>
      <c r="G1400">
        <v>-0.9013490725126471</v>
      </c>
      <c r="H1400">
        <v>-0.9522448979591831</v>
      </c>
      <c r="I1400">
        <v>-0.9595155709342561</v>
      </c>
    </row>
    <row r="1401" spans="1:9">
      <c r="A1401" s="1" t="s">
        <v>1413</v>
      </c>
      <c r="B1401">
        <f>HYPERLINK("https://www.suredividend.com/sure-analysis-research-database/","Chicago Atlantic Real Estate Finance Inc")</f>
        <v>0</v>
      </c>
      <c r="C1401">
        <v>-0.021899685312439</v>
      </c>
      <c r="D1401">
        <v>0.06071052979809501</v>
      </c>
      <c r="E1401">
        <v>0.08623554835994801</v>
      </c>
      <c r="F1401">
        <v>0.010617120106171</v>
      </c>
      <c r="G1401">
        <v>-0.015507533985352</v>
      </c>
      <c r="H1401">
        <v>0.034639710328054</v>
      </c>
      <c r="I1401">
        <v>0.034639710328054</v>
      </c>
    </row>
    <row r="1402" spans="1:9">
      <c r="A1402" s="1" t="s">
        <v>1414</v>
      </c>
      <c r="B1402">
        <f>HYPERLINK("https://www.suredividend.com/sure-analysis-research-database/","Renewable Energy Group Inc")</f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</row>
    <row r="1403" spans="1:9">
      <c r="A1403" s="1" t="s">
        <v>1415</v>
      </c>
      <c r="B1403">
        <f>HYPERLINK("https://www.suredividend.com/sure-analysis-research-database/","Rekor Systems Inc")</f>
        <v>0</v>
      </c>
      <c r="C1403">
        <v>0.585559214538358</v>
      </c>
      <c r="D1403">
        <v>0.101694915254237</v>
      </c>
      <c r="E1403">
        <v>-0.301075268817204</v>
      </c>
      <c r="F1403">
        <v>0.08333333333333301</v>
      </c>
      <c r="G1403">
        <v>-0.7833333333333331</v>
      </c>
      <c r="H1403">
        <v>-0.8509174311926601</v>
      </c>
      <c r="I1403">
        <v>-0.712548369264787</v>
      </c>
    </row>
    <row r="1404" spans="1:9">
      <c r="A1404" s="1" t="s">
        <v>1416</v>
      </c>
      <c r="B1404">
        <f>HYPERLINK("https://www.suredividend.com/sure-analysis-research-database/","Remitly Global Inc")</f>
        <v>0</v>
      </c>
      <c r="C1404">
        <v>0.12065637065637</v>
      </c>
      <c r="D1404">
        <v>0.070046082949308</v>
      </c>
      <c r="E1404">
        <v>0.298657718120805</v>
      </c>
      <c r="F1404">
        <v>0.013973799126637</v>
      </c>
      <c r="G1404">
        <v>-0.27072864321608</v>
      </c>
      <c r="H1404">
        <v>-0.7603715170278631</v>
      </c>
      <c r="I1404">
        <v>-0.7603715170278631</v>
      </c>
    </row>
    <row r="1405" spans="1:9">
      <c r="A1405" s="1" t="s">
        <v>1417</v>
      </c>
      <c r="B1405">
        <f>HYPERLINK("https://www.suredividend.com/sure-analysis-research-database/","Rent the Runway Inc")</f>
        <v>0</v>
      </c>
      <c r="C1405">
        <v>0.472868217054263</v>
      </c>
      <c r="D1405">
        <v>0.637931034482758</v>
      </c>
      <c r="E1405">
        <v>-0.028132992327365</v>
      </c>
      <c r="F1405">
        <v>0.245901639344262</v>
      </c>
      <c r="G1405">
        <v>-0.425981873111782</v>
      </c>
      <c r="H1405">
        <v>-0.803006739243131</v>
      </c>
      <c r="I1405">
        <v>-0.803006739243131</v>
      </c>
    </row>
    <row r="1406" spans="1:9">
      <c r="A1406" s="1" t="s">
        <v>1418</v>
      </c>
      <c r="B1406">
        <f>HYPERLINK("https://www.suredividend.com/sure-analysis-research-database/","Replimune Group Inc")</f>
        <v>0</v>
      </c>
      <c r="C1406">
        <v>0.019599999999999</v>
      </c>
      <c r="D1406">
        <v>0.47511574074074</v>
      </c>
      <c r="E1406">
        <v>0.205200945626477</v>
      </c>
      <c r="F1406">
        <v>-0.062867647058823</v>
      </c>
      <c r="G1406">
        <v>-0.018860662047729</v>
      </c>
      <c r="H1406">
        <v>-0.404160822814399</v>
      </c>
      <c r="I1406">
        <v>0.681398416886543</v>
      </c>
    </row>
    <row r="1407" spans="1:9">
      <c r="A1407" s="1" t="s">
        <v>1419</v>
      </c>
      <c r="B1407">
        <f>HYPERLINK("https://www.suredividend.com/sure-analysis-research-database/","Riley Exploration Permian Inc.")</f>
        <v>0</v>
      </c>
      <c r="C1407">
        <v>0.079563182527301</v>
      </c>
      <c r="D1407">
        <v>0.202385658249677</v>
      </c>
      <c r="E1407">
        <v>0.209388489837291</v>
      </c>
      <c r="F1407">
        <v>-0.05946313285762801</v>
      </c>
      <c r="G1407">
        <v>0.274155089715616</v>
      </c>
      <c r="H1407">
        <v>0.716291124641922</v>
      </c>
      <c r="I1407">
        <v>1.903186897900748</v>
      </c>
    </row>
    <row r="1408" spans="1:9">
      <c r="A1408" s="1" t="s">
        <v>1420</v>
      </c>
      <c r="B1408">
        <f>HYPERLINK("https://www.suredividend.com/sure-analysis-research-database/","RPC, Inc.")</f>
        <v>0</v>
      </c>
      <c r="C1408">
        <v>0.20580808080808</v>
      </c>
      <c r="D1408">
        <v>0.178328624131676</v>
      </c>
      <c r="E1408">
        <v>0.4944993036102721</v>
      </c>
      <c r="F1408">
        <v>0.07424071991001101</v>
      </c>
      <c r="G1408">
        <v>0.6773808269224011</v>
      </c>
      <c r="H1408">
        <v>1.621465824869613</v>
      </c>
      <c r="I1408">
        <v>-0.6180611102223641</v>
      </c>
    </row>
    <row r="1409" spans="1:9">
      <c r="A1409" s="1" t="s">
        <v>1421</v>
      </c>
      <c r="B1409">
        <f>HYPERLINK("https://www.suredividend.com/sure-analysis-research-database/","Reata Pharmaceuticals Inc")</f>
        <v>0</v>
      </c>
      <c r="C1409">
        <v>0.06681639528354801</v>
      </c>
      <c r="D1409">
        <v>0.5979814970563491</v>
      </c>
      <c r="E1409">
        <v>0.059085841694537</v>
      </c>
      <c r="F1409">
        <v>0.000263227165043</v>
      </c>
      <c r="G1409">
        <v>0.323580633925461</v>
      </c>
      <c r="H1409">
        <v>-0.6846734710812381</v>
      </c>
      <c r="I1409">
        <v>0.302261823166552</v>
      </c>
    </row>
    <row r="1410" spans="1:9">
      <c r="A1410" s="1" t="s">
        <v>1422</v>
      </c>
      <c r="B1410">
        <f>HYPERLINK("https://www.suredividend.com/sure-analysis-research-database/","Revlon, Inc.")</f>
        <v>0</v>
      </c>
      <c r="C1410">
        <v>-0.4009370199692781</v>
      </c>
      <c r="D1410">
        <v>-0.281786372007366</v>
      </c>
      <c r="E1410">
        <v>-0.444458689458689</v>
      </c>
      <c r="F1410">
        <v>-0.6560934744268071</v>
      </c>
      <c r="G1410">
        <v>-0.6217361784675071</v>
      </c>
      <c r="H1410">
        <v>-0.283106617647058</v>
      </c>
      <c r="I1410">
        <v>-0.824723595505618</v>
      </c>
    </row>
    <row r="1411" spans="1:9">
      <c r="A1411" s="1" t="s">
        <v>1423</v>
      </c>
      <c r="B1411">
        <f>HYPERLINK("https://www.suredividend.com/sure-analysis-research-database/","REV Group Inc")</f>
        <v>0</v>
      </c>
      <c r="C1411">
        <v>0.014714122333689</v>
      </c>
      <c r="D1411">
        <v>0.146146710246829</v>
      </c>
      <c r="E1411">
        <v>0.248052867594996</v>
      </c>
      <c r="F1411">
        <v>0.04754358161648101</v>
      </c>
      <c r="G1411">
        <v>-0.074579640752096</v>
      </c>
      <c r="H1411">
        <v>0.588465004505857</v>
      </c>
      <c r="I1411">
        <v>-0.559931826049905</v>
      </c>
    </row>
    <row r="1412" spans="1:9">
      <c r="A1412" s="1" t="s">
        <v>1424</v>
      </c>
      <c r="B1412">
        <f>HYPERLINK("https://www.suredividend.com/sure-analysis-research-database/","REX American Resources Corp")</f>
        <v>0</v>
      </c>
      <c r="C1412">
        <v>0.039780521262002</v>
      </c>
      <c r="D1412">
        <v>0.025363544132566</v>
      </c>
      <c r="E1412">
        <v>0.066479071403447</v>
      </c>
      <c r="F1412">
        <v>-0.048336472065285</v>
      </c>
      <c r="G1412">
        <v>-0.08139862512762501</v>
      </c>
      <c r="H1412">
        <v>0.08764667266929001</v>
      </c>
      <c r="I1412">
        <v>0.08973414368532801</v>
      </c>
    </row>
    <row r="1413" spans="1:9">
      <c r="A1413" s="1" t="s">
        <v>1425</v>
      </c>
      <c r="B1413">
        <f>HYPERLINK("https://www.suredividend.com/sure-analysis-research-database/","Resideo Technologies Inc")</f>
        <v>0</v>
      </c>
      <c r="C1413">
        <v>0.10705289672544</v>
      </c>
      <c r="D1413">
        <v>-0.177736202057998</v>
      </c>
      <c r="E1413">
        <v>-0.135693215339233</v>
      </c>
      <c r="F1413">
        <v>0.06869300911854001</v>
      </c>
      <c r="G1413">
        <v>-0.292555331991951</v>
      </c>
      <c r="H1413">
        <v>-0.255084745762712</v>
      </c>
      <c r="I1413">
        <v>-0.393793103448275</v>
      </c>
    </row>
    <row r="1414" spans="1:9">
      <c r="A1414" s="1" t="s">
        <v>1426</v>
      </c>
      <c r="B1414">
        <f>HYPERLINK("https://www.suredividend.com/sure-analysis-research-database/","Rafael Holdings Inc")</f>
        <v>0</v>
      </c>
      <c r="C1414">
        <v>0.052910052910053</v>
      </c>
      <c r="D1414">
        <v>0.117977528089887</v>
      </c>
      <c r="E1414">
        <v>-0.07870370370370301</v>
      </c>
      <c r="F1414">
        <v>0.06417112299465201</v>
      </c>
      <c r="G1414">
        <v>-0.5765957446808511</v>
      </c>
      <c r="H1414">
        <v>-0.923725565350709</v>
      </c>
      <c r="I1414">
        <v>-0.5938775510204081</v>
      </c>
    </row>
    <row r="1415" spans="1:9">
      <c r="A1415" s="1" t="s">
        <v>1427</v>
      </c>
      <c r="B1415">
        <f>HYPERLINK("https://www.suredividend.com/sure-analysis-research-database/","Regenxbio Inc")</f>
        <v>0</v>
      </c>
      <c r="C1415">
        <v>0.004595588235293001</v>
      </c>
      <c r="D1415">
        <v>-0.022361359570661</v>
      </c>
      <c r="E1415">
        <v>-0.210830324909747</v>
      </c>
      <c r="F1415">
        <v>-0.036155202821869</v>
      </c>
      <c r="G1415">
        <v>-0.250599931436407</v>
      </c>
      <c r="H1415">
        <v>-0.5344974446337301</v>
      </c>
      <c r="I1415">
        <v>-0.170398481973434</v>
      </c>
    </row>
    <row r="1416" spans="1:9">
      <c r="A1416" s="1" t="s">
        <v>1428</v>
      </c>
      <c r="B1416">
        <f>HYPERLINK("https://www.suredividend.com/sure-analysis-research-database/","Resources Connection Inc")</f>
        <v>0</v>
      </c>
      <c r="C1416">
        <v>-0.103157894736842</v>
      </c>
      <c r="D1416">
        <v>0.083046258278566</v>
      </c>
      <c r="E1416">
        <v>-0.182125800955146</v>
      </c>
      <c r="F1416">
        <v>-0.07290533188248001</v>
      </c>
      <c r="G1416">
        <v>-0.07457190804372901</v>
      </c>
      <c r="H1416">
        <v>0.538586559037841</v>
      </c>
      <c r="I1416">
        <v>0.106795359773444</v>
      </c>
    </row>
    <row r="1417" spans="1:9">
      <c r="A1417" s="1" t="s">
        <v>1429</v>
      </c>
      <c r="B1417">
        <f>HYPERLINK("https://www.suredividend.com/sure-analysis-research-database/","Sturm, Ruger &amp; Co., Inc.")</f>
        <v>0</v>
      </c>
      <c r="C1417">
        <v>-0.017878506285021</v>
      </c>
      <c r="D1417">
        <v>0.117168742061666</v>
      </c>
      <c r="E1417">
        <v>-0.073997967867117</v>
      </c>
      <c r="F1417">
        <v>0.046029237455551</v>
      </c>
      <c r="G1417">
        <v>-0.115158118486928</v>
      </c>
      <c r="H1417">
        <v>-0.115144810437113</v>
      </c>
      <c r="I1417">
        <v>0.400500953504426</v>
      </c>
    </row>
    <row r="1418" spans="1:9">
      <c r="A1418" s="1" t="s">
        <v>1430</v>
      </c>
      <c r="B1418">
        <f>HYPERLINK("https://www.suredividend.com/sure-analysis-research-database/","Regis Corp.")</f>
        <v>0</v>
      </c>
      <c r="C1418">
        <v>0.398230088495575</v>
      </c>
      <c r="D1418">
        <v>0.449541284403669</v>
      </c>
      <c r="E1418">
        <v>0.206106870229007</v>
      </c>
      <c r="F1418">
        <v>0.295081967213114</v>
      </c>
      <c r="G1418">
        <v>-0.01863354037267</v>
      </c>
      <c r="H1418">
        <v>-0.816279069767441</v>
      </c>
      <c r="I1418">
        <v>-0.8983922829581991</v>
      </c>
    </row>
    <row r="1419" spans="1:9">
      <c r="A1419" s="1" t="s">
        <v>1431</v>
      </c>
      <c r="B1419">
        <f>HYPERLINK("https://www.suredividend.com/sure-analysis-research-database/","Ryman Hospitality Properties Inc")</f>
        <v>0</v>
      </c>
      <c r="C1419">
        <v>-0.08520895967064801</v>
      </c>
      <c r="D1419">
        <v>0.046131211646049</v>
      </c>
      <c r="E1419">
        <v>0.08564341716511201</v>
      </c>
      <c r="F1419">
        <v>-0.008804108584005</v>
      </c>
      <c r="G1419">
        <v>-0.114098360655737</v>
      </c>
      <c r="H1419">
        <v>0.197576481051668</v>
      </c>
      <c r="I1419">
        <v>0.279018945448406</v>
      </c>
    </row>
    <row r="1420" spans="1:9">
      <c r="A1420" s="1" t="s">
        <v>1432</v>
      </c>
      <c r="B1420">
        <f>HYPERLINK("https://www.suredividend.com/sure-analysis-research-database/","RCI Hospitality Holdings Inc")</f>
        <v>0</v>
      </c>
      <c r="C1420">
        <v>0.09305962176021301</v>
      </c>
      <c r="D1420">
        <v>0.343511629993132</v>
      </c>
      <c r="E1420">
        <v>0.8314379474103071</v>
      </c>
      <c r="F1420">
        <v>-0.019637300139499</v>
      </c>
      <c r="G1420">
        <v>0.00670845123811</v>
      </c>
      <c r="H1420">
        <v>1.454429444556384</v>
      </c>
      <c r="I1420">
        <v>2.243523426433154</v>
      </c>
    </row>
    <row r="1421" spans="1:9">
      <c r="A1421" s="1" t="s">
        <v>1433</v>
      </c>
      <c r="B1421">
        <f>HYPERLINK("https://www.suredividend.com/sure-analysis-research-database/","Lordstown Motors Corp.")</f>
        <v>0</v>
      </c>
      <c r="C1421">
        <v>-0.315109489051094</v>
      </c>
      <c r="D1421">
        <v>-0.4347590361445781</v>
      </c>
      <c r="E1421">
        <v>-0.490054347826086</v>
      </c>
      <c r="F1421">
        <v>-0.176929824561403</v>
      </c>
      <c r="G1421">
        <v>-0.714802431610942</v>
      </c>
      <c r="H1421">
        <v>-0.9573111919927201</v>
      </c>
      <c r="I1421">
        <v>-0.903665297741273</v>
      </c>
    </row>
    <row r="1422" spans="1:9">
      <c r="A1422" s="1" t="s">
        <v>1434</v>
      </c>
      <c r="B1422">
        <f>HYPERLINK("https://www.suredividend.com/sure-analysis-research-database/","Rigel Pharmaceuticals")</f>
        <v>0</v>
      </c>
      <c r="C1422">
        <v>0.615305304158551</v>
      </c>
      <c r="D1422">
        <v>0.236842105263158</v>
      </c>
      <c r="E1422">
        <v>0.021739130434782</v>
      </c>
      <c r="F1422">
        <v>-0.06</v>
      </c>
      <c r="G1422">
        <v>-0.44047619047619</v>
      </c>
      <c r="H1422">
        <v>-0.6061452513966481</v>
      </c>
      <c r="I1422">
        <v>-0.649253731343283</v>
      </c>
    </row>
    <row r="1423" spans="1:9">
      <c r="A1423" s="1" t="s">
        <v>1435</v>
      </c>
      <c r="B1423">
        <f>HYPERLINK("https://www.suredividend.com/sure-analysis-research-database/","B. Riley Financial Inc")</f>
        <v>0</v>
      </c>
      <c r="C1423">
        <v>-0.139389736477115</v>
      </c>
      <c r="D1423">
        <v>-0.140083474035048</v>
      </c>
      <c r="E1423">
        <v>-0.122250697271975</v>
      </c>
      <c r="F1423">
        <v>0.08859649122806901</v>
      </c>
      <c r="G1423">
        <v>-0.525684146155022</v>
      </c>
      <c r="H1423">
        <v>-0.089430496618688</v>
      </c>
      <c r="I1423">
        <v>1.542164561283714</v>
      </c>
    </row>
    <row r="1424" spans="1:9">
      <c r="A1424" s="1" t="s">
        <v>1436</v>
      </c>
      <c r="B1424">
        <f>HYPERLINK("https://www.suredividend.com/sure-analysis-research-database/","Riot Platforms Inc")</f>
        <v>0</v>
      </c>
      <c r="C1424">
        <v>0.167064439140811</v>
      </c>
      <c r="D1424">
        <v>-0.255140898705255</v>
      </c>
      <c r="E1424">
        <v>-0.104395604395604</v>
      </c>
      <c r="F1424">
        <v>0.442477876106194</v>
      </c>
      <c r="G1424">
        <v>-0.7598231827111981</v>
      </c>
      <c r="H1424">
        <v>-0.8160962767957871</v>
      </c>
      <c r="I1424">
        <v>-0.796419650291423</v>
      </c>
    </row>
    <row r="1425" spans="1:9">
      <c r="A1425" s="1" t="s">
        <v>1437</v>
      </c>
      <c r="B1425">
        <f>HYPERLINK("https://www.suredividend.com/sure-analysis-research-database/","Relay Therapeutics Inc")</f>
        <v>0</v>
      </c>
      <c r="C1425">
        <v>-0.043558282208589</v>
      </c>
      <c r="D1425">
        <v>-0.299010791366906</v>
      </c>
      <c r="E1425">
        <v>-0.301210219632451</v>
      </c>
      <c r="F1425">
        <v>0.043507362784471</v>
      </c>
      <c r="G1425">
        <v>-0.418283582089552</v>
      </c>
      <c r="H1425">
        <v>-0.616670764691418</v>
      </c>
      <c r="I1425">
        <v>-0.5552068473609131</v>
      </c>
    </row>
    <row r="1426" spans="1:9">
      <c r="A1426" s="1" t="s">
        <v>1438</v>
      </c>
      <c r="B1426">
        <f>HYPERLINK("https://www.suredividend.com/sure-analysis-research-database/","Radiant Logistics, Inc.")</f>
        <v>0</v>
      </c>
      <c r="C1426">
        <v>0.011406844106463</v>
      </c>
      <c r="D1426">
        <v>-0.037974683544303</v>
      </c>
      <c r="E1426">
        <v>-0.246458923512747</v>
      </c>
      <c r="F1426">
        <v>0.045186640471512</v>
      </c>
      <c r="G1426">
        <v>-0.23342939481268</v>
      </c>
      <c r="H1426">
        <v>-0.111853088480801</v>
      </c>
      <c r="I1426">
        <v>0.12</v>
      </c>
    </row>
    <row r="1427" spans="1:9">
      <c r="A1427" s="1" t="s">
        <v>1439</v>
      </c>
      <c r="B1427">
        <f>HYPERLINK("https://www.suredividend.com/sure-analysis-RLI/","RLI Corp.")</f>
        <v>0</v>
      </c>
      <c r="C1427">
        <v>0.061517913262099</v>
      </c>
      <c r="D1427">
        <v>0.328005976076037</v>
      </c>
      <c r="E1427">
        <v>0.172588625430358</v>
      </c>
      <c r="F1427">
        <v>0.029252685305096</v>
      </c>
      <c r="G1427">
        <v>0.21084536023344</v>
      </c>
      <c r="H1427">
        <v>0.316059905028613</v>
      </c>
      <c r="I1427">
        <v>1.483384063405238</v>
      </c>
    </row>
    <row r="1428" spans="1:9">
      <c r="A1428" s="1" t="s">
        <v>1440</v>
      </c>
      <c r="B1428">
        <f>HYPERLINK("https://www.suredividend.com/sure-analysis-RLJ/","RLJ Lodging Trust")</f>
        <v>0</v>
      </c>
      <c r="C1428">
        <v>-0.075440235374232</v>
      </c>
      <c r="D1428">
        <v>0.017369250278599</v>
      </c>
      <c r="E1428">
        <v>-0.047087723718427</v>
      </c>
      <c r="F1428">
        <v>0</v>
      </c>
      <c r="G1428">
        <v>-0.26044903802507</v>
      </c>
      <c r="H1428">
        <v>-0.224158772720279</v>
      </c>
      <c r="I1428">
        <v>-0.4348925815643701</v>
      </c>
    </row>
    <row r="1429" spans="1:9">
      <c r="A1429" s="1" t="s">
        <v>1441</v>
      </c>
      <c r="B1429">
        <f>HYPERLINK("https://www.suredividend.com/sure-analysis-research-database/","Relmada Therapeutics Inc")</f>
        <v>0</v>
      </c>
      <c r="C1429">
        <v>0.264925373134328</v>
      </c>
      <c r="D1429">
        <v>-0.900992990654205</v>
      </c>
      <c r="E1429">
        <v>-0.820729772607086</v>
      </c>
      <c r="F1429">
        <v>-0.028653295128939</v>
      </c>
      <c r="G1429">
        <v>-0.837876614060258</v>
      </c>
      <c r="H1429">
        <v>-0.9042913608131</v>
      </c>
      <c r="I1429">
        <v>0.784210526315789</v>
      </c>
    </row>
    <row r="1430" spans="1:9">
      <c r="A1430" s="1" t="s">
        <v>1442</v>
      </c>
      <c r="B1430">
        <f>HYPERLINK("https://www.suredividend.com/sure-analysis-research-database/","Rallybio Corp")</f>
        <v>0</v>
      </c>
      <c r="C1430">
        <v>0.1947261663286</v>
      </c>
      <c r="D1430">
        <v>-0.46503178928247</v>
      </c>
      <c r="E1430">
        <v>-0.339686098654708</v>
      </c>
      <c r="F1430">
        <v>-0.103500761035007</v>
      </c>
      <c r="G1430">
        <v>-0.405650857719475</v>
      </c>
      <c r="H1430">
        <v>-0.5822695035460991</v>
      </c>
      <c r="I1430">
        <v>-0.5822695035460991</v>
      </c>
    </row>
    <row r="1431" spans="1:9">
      <c r="A1431" s="1" t="s">
        <v>1443</v>
      </c>
      <c r="B1431">
        <f>HYPERLINK("https://www.suredividend.com/sure-analysis-research-database/","Regional Management Corp")</f>
        <v>0</v>
      </c>
      <c r="C1431">
        <v>0.031816626753335</v>
      </c>
      <c r="D1431">
        <v>0.06620662349048301</v>
      </c>
      <c r="E1431">
        <v>-0.18999852287529</v>
      </c>
      <c r="F1431">
        <v>0.074074074074074</v>
      </c>
      <c r="G1431">
        <v>-0.446699920930923</v>
      </c>
      <c r="H1431">
        <v>0.0201527523153</v>
      </c>
      <c r="I1431">
        <v>0.178433418121148</v>
      </c>
    </row>
    <row r="1432" spans="1:9">
      <c r="A1432" s="1" t="s">
        <v>1444</v>
      </c>
      <c r="B1432">
        <f>HYPERLINK("https://www.suredividend.com/sure-analysis-research-database/","RE/MAX Holdings Inc")</f>
        <v>0</v>
      </c>
      <c r="C1432">
        <v>-0.001494768310911</v>
      </c>
      <c r="D1432">
        <v>0.11574458134524</v>
      </c>
      <c r="E1432">
        <v>-0.172666622630292</v>
      </c>
      <c r="F1432">
        <v>0.07510729613733801</v>
      </c>
      <c r="G1432">
        <v>-0.3040458412918911</v>
      </c>
      <c r="H1432">
        <v>-0.440968318748483</v>
      </c>
      <c r="I1432">
        <v>-0.5246476367586851</v>
      </c>
    </row>
    <row r="1433" spans="1:9">
      <c r="A1433" s="1" t="s">
        <v>1445</v>
      </c>
      <c r="B1433">
        <f>HYPERLINK("https://www.suredividend.com/sure-analysis-research-database/","Rambus Inc.")</f>
        <v>0</v>
      </c>
      <c r="C1433">
        <v>0.002406417112299</v>
      </c>
      <c r="D1433">
        <v>0.370248538011696</v>
      </c>
      <c r="E1433">
        <v>0.7502334267040141</v>
      </c>
      <c r="F1433">
        <v>0.046621998883305</v>
      </c>
      <c r="G1433">
        <v>0.361292665214233</v>
      </c>
      <c r="H1433">
        <v>0.998400852878464</v>
      </c>
      <c r="I1433">
        <v>1.638282899366643</v>
      </c>
    </row>
    <row r="1434" spans="1:9">
      <c r="A1434" s="1" t="s">
        <v>1446</v>
      </c>
      <c r="B1434">
        <f>HYPERLINK("https://www.suredividend.com/sure-analysis-research-database/","Rimini Street Inc.")</f>
        <v>0</v>
      </c>
      <c r="C1434">
        <v>0.09947643979057601</v>
      </c>
      <c r="D1434">
        <v>-0.10828025477707</v>
      </c>
      <c r="E1434">
        <v>-0.3568147013782541</v>
      </c>
      <c r="F1434">
        <v>0.102362204724409</v>
      </c>
      <c r="G1434">
        <v>-0.23076923076923</v>
      </c>
      <c r="H1434">
        <v>-0.292929292929292</v>
      </c>
      <c r="I1434">
        <v>-0.478260869565217</v>
      </c>
    </row>
    <row r="1435" spans="1:9">
      <c r="A1435" s="1" t="s">
        <v>1447</v>
      </c>
      <c r="B1435">
        <f>HYPERLINK("https://www.suredividend.com/sure-analysis-research-database/","Romeo Power Inc")</f>
        <v>0</v>
      </c>
      <c r="C1435">
        <v>-0.339747217506131</v>
      </c>
      <c r="D1435">
        <v>-0.396551724137931</v>
      </c>
      <c r="E1435">
        <v>-0.7222222222222221</v>
      </c>
      <c r="F1435">
        <v>-0.9041095890410961</v>
      </c>
      <c r="G1435">
        <v>-0.926624737945492</v>
      </c>
      <c r="H1435">
        <v>-0.9659863945578231</v>
      </c>
      <c r="I1435">
        <v>-0.9641025641025641</v>
      </c>
    </row>
    <row r="1436" spans="1:9">
      <c r="A1436" s="1" t="s">
        <v>1448</v>
      </c>
      <c r="B1436">
        <f>HYPERLINK("https://www.suredividend.com/sure-analysis-research-database/","RMR Group Inc (The)")</f>
        <v>0</v>
      </c>
      <c r="C1436">
        <v>0.030476873431337</v>
      </c>
      <c r="D1436">
        <v>0.218881207854446</v>
      </c>
      <c r="E1436">
        <v>0.059261907482281</v>
      </c>
      <c r="F1436">
        <v>0.017345132743362</v>
      </c>
      <c r="G1436">
        <v>-0.141256442817659</v>
      </c>
      <c r="H1436">
        <v>-0.030226955236572</v>
      </c>
      <c r="I1436">
        <v>-0.32840738611668</v>
      </c>
    </row>
    <row r="1437" spans="1:9">
      <c r="A1437" s="1" t="s">
        <v>1449</v>
      </c>
      <c r="B1437">
        <f>HYPERLINK("https://www.suredividend.com/sure-analysis-research-database/","Avidity Biosciences Inc")</f>
        <v>0</v>
      </c>
      <c r="C1437">
        <v>0.7076076993583861</v>
      </c>
      <c r="D1437">
        <v>0.137362637362637</v>
      </c>
      <c r="E1437">
        <v>0.09138840070298701</v>
      </c>
      <c r="F1437">
        <v>-0.160432627309599</v>
      </c>
      <c r="G1437">
        <v>-0.028169014084507</v>
      </c>
      <c r="H1437">
        <v>-0.338188277087033</v>
      </c>
      <c r="I1437">
        <v>-0.346315789473684</v>
      </c>
    </row>
    <row r="1438" spans="1:9">
      <c r="A1438" s="1" t="s">
        <v>1450</v>
      </c>
      <c r="B1438">
        <f>HYPERLINK("https://www.suredividend.com/sure-analysis-research-database/","Renasant Corp.")</f>
        <v>0</v>
      </c>
      <c r="C1438">
        <v>-0.07731723492728701</v>
      </c>
      <c r="D1438">
        <v>0.134932598837461</v>
      </c>
      <c r="E1438">
        <v>0.254702132547844</v>
      </c>
      <c r="F1438">
        <v>-0.026602819898909</v>
      </c>
      <c r="G1438">
        <v>-0.068892773803798</v>
      </c>
      <c r="H1438">
        <v>0.06213442865643901</v>
      </c>
      <c r="I1438">
        <v>-0.011895599573324</v>
      </c>
    </row>
    <row r="1439" spans="1:9">
      <c r="A1439" s="1" t="s">
        <v>1451</v>
      </c>
      <c r="B1439">
        <f>HYPERLINK("https://www.suredividend.com/sure-analysis-research-database/","Construction Partners Inc")</f>
        <v>0</v>
      </c>
      <c r="C1439">
        <v>0.06197854588796101</v>
      </c>
      <c r="D1439">
        <v>-0.022669104204753</v>
      </c>
      <c r="E1439">
        <v>0.29757281553398</v>
      </c>
      <c r="F1439">
        <v>0.001498688647433</v>
      </c>
      <c r="G1439">
        <v>-0.064730580825752</v>
      </c>
      <c r="H1439">
        <v>-0.203990470518165</v>
      </c>
      <c r="I1439">
        <v>1.209090909090909</v>
      </c>
    </row>
    <row r="1440" spans="1:9">
      <c r="A1440" s="1" t="s">
        <v>1452</v>
      </c>
      <c r="B1440">
        <f>HYPERLINK("https://www.suredividend.com/sure-analysis-research-database/","Ranger Oil Corp")</f>
        <v>0</v>
      </c>
      <c r="C1440">
        <v>0.155284783224709</v>
      </c>
      <c r="D1440">
        <v>0.120498219075678</v>
      </c>
      <c r="E1440">
        <v>0.2957624721508</v>
      </c>
      <c r="F1440">
        <v>0.008409596834034</v>
      </c>
      <c r="G1440">
        <v>0.397036651223992</v>
      </c>
      <c r="H1440">
        <v>0.332026464101935</v>
      </c>
      <c r="I1440">
        <v>0.332026464101935</v>
      </c>
    </row>
    <row r="1441" spans="1:9">
      <c r="A1441" s="1" t="s">
        <v>1453</v>
      </c>
      <c r="B1441">
        <f>HYPERLINK("https://www.suredividend.com/sure-analysis-research-database/","Gibraltar Industries Inc.")</f>
        <v>0</v>
      </c>
      <c r="C1441">
        <v>0.009043112513144</v>
      </c>
      <c r="D1441">
        <v>0.087242238839791</v>
      </c>
      <c r="E1441">
        <v>0.212228398180899</v>
      </c>
      <c r="F1441">
        <v>0.045771578029642</v>
      </c>
      <c r="G1441">
        <v>-0.245360176156023</v>
      </c>
      <c r="H1441">
        <v>-0.478761542639869</v>
      </c>
      <c r="I1441">
        <v>0.3689015691868761</v>
      </c>
    </row>
    <row r="1442" spans="1:9">
      <c r="A1442" s="1" t="s">
        <v>1454</v>
      </c>
      <c r="B1442">
        <f>HYPERLINK("https://www.suredividend.com/sure-analysis-research-database/","Rogers Corp.")</f>
        <v>0</v>
      </c>
      <c r="C1442">
        <v>0.008640026584697001</v>
      </c>
      <c r="D1442">
        <v>-0.4862039779940751</v>
      </c>
      <c r="E1442">
        <v>-0.537802649611694</v>
      </c>
      <c r="F1442">
        <v>0.01734539969834</v>
      </c>
      <c r="G1442">
        <v>-0.556833114323258</v>
      </c>
      <c r="H1442">
        <v>-0.338869527336092</v>
      </c>
      <c r="I1442">
        <v>-0.274557839388145</v>
      </c>
    </row>
    <row r="1443" spans="1:9">
      <c r="A1443" s="1" t="s">
        <v>1455</v>
      </c>
      <c r="B1443">
        <f>HYPERLINK("https://www.suredividend.com/sure-analysis-research-database/","Retail Opportunity Investments Corp")</f>
        <v>0</v>
      </c>
      <c r="C1443">
        <v>-0.036933689881021</v>
      </c>
      <c r="D1443">
        <v>0.108451290591174</v>
      </c>
      <c r="E1443">
        <v>-0.033944757967849</v>
      </c>
      <c r="F1443">
        <v>-0.007984031936127001</v>
      </c>
      <c r="G1443">
        <v>-0.210793758336685</v>
      </c>
      <c r="H1443">
        <v>0.142336157889091</v>
      </c>
      <c r="I1443">
        <v>-0.08368517118678401</v>
      </c>
    </row>
    <row r="1444" spans="1:9">
      <c r="A1444" s="1" t="s">
        <v>1456</v>
      </c>
      <c r="B1444">
        <f>HYPERLINK("https://www.suredividend.com/sure-analysis-research-database/","RBC Bearings Inc.")</f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</row>
    <row r="1445" spans="1:9">
      <c r="A1445" s="1" t="s">
        <v>1457</v>
      </c>
      <c r="B1445">
        <f>HYPERLINK("https://www.suredividend.com/sure-analysis-research-database/","Repay Holdings Corporation")</f>
        <v>0</v>
      </c>
      <c r="C1445">
        <v>0.039408866995073</v>
      </c>
      <c r="D1445">
        <v>0.232116788321167</v>
      </c>
      <c r="E1445">
        <v>-0.3677902621722841</v>
      </c>
      <c r="F1445">
        <v>0.048447204968943</v>
      </c>
      <c r="G1445">
        <v>-0.53879781420765</v>
      </c>
      <c r="H1445">
        <v>-0.686594875603416</v>
      </c>
      <c r="I1445">
        <v>-0.125388601036269</v>
      </c>
    </row>
    <row r="1446" spans="1:9">
      <c r="A1446" s="1" t="s">
        <v>1458</v>
      </c>
      <c r="B1446">
        <f>HYPERLINK("https://www.suredividend.com/sure-analysis-research-database/","Rapid7 Inc")</f>
        <v>0</v>
      </c>
      <c r="C1446">
        <v>0.003038590094196</v>
      </c>
      <c r="D1446">
        <v>-0.22801683816651</v>
      </c>
      <c r="E1446">
        <v>-0.553617308992562</v>
      </c>
      <c r="F1446">
        <v>-0.028546203649205</v>
      </c>
      <c r="G1446">
        <v>-0.6721946375372391</v>
      </c>
      <c r="H1446">
        <v>-0.6211843011246271</v>
      </c>
      <c r="I1446">
        <v>0.633349826818406</v>
      </c>
    </row>
    <row r="1447" spans="1:9">
      <c r="A1447" s="1" t="s">
        <v>1459</v>
      </c>
      <c r="B1447">
        <f>HYPERLINK("https://www.suredividend.com/sure-analysis-research-database/","Reneo Pharmaceuticals Inc")</f>
        <v>0</v>
      </c>
      <c r="C1447">
        <v>0.461111111111111</v>
      </c>
      <c r="D1447">
        <v>-0.178125</v>
      </c>
      <c r="E1447">
        <v>-0.143322475570032</v>
      </c>
      <c r="F1447">
        <v>0.128755364806866</v>
      </c>
      <c r="G1447">
        <v>-0.6959537572254331</v>
      </c>
      <c r="H1447">
        <v>-0.810655147588192</v>
      </c>
      <c r="I1447">
        <v>-0.810655147588192</v>
      </c>
    </row>
    <row r="1448" spans="1:9">
      <c r="A1448" s="1" t="s">
        <v>1460</v>
      </c>
      <c r="B1448">
        <f>HYPERLINK("https://www.suredividend.com/sure-analysis-research-database/","Rapid Micro Biosystems Inc")</f>
        <v>0</v>
      </c>
      <c r="C1448">
        <v>-0.251366120218579</v>
      </c>
      <c r="D1448">
        <v>-0.595870206489675</v>
      </c>
      <c r="E1448">
        <v>-0.695555555555555</v>
      </c>
      <c r="F1448">
        <v>0.212389380530973</v>
      </c>
      <c r="G1448">
        <v>-0.850109409190372</v>
      </c>
      <c r="H1448">
        <v>-0.9359813084112151</v>
      </c>
      <c r="I1448">
        <v>-0.9359813084112151</v>
      </c>
    </row>
    <row r="1449" spans="1:9">
      <c r="A1449" s="1" t="s">
        <v>1461</v>
      </c>
      <c r="B1449">
        <f>HYPERLINK("https://www.suredividend.com/sure-analysis-RPT/","RPT Realty")</f>
        <v>0</v>
      </c>
      <c r="C1449">
        <v>-0.09350922794562901</v>
      </c>
      <c r="D1449">
        <v>0.236324824335141</v>
      </c>
      <c r="E1449">
        <v>0.017665331394923</v>
      </c>
      <c r="F1449">
        <v>-0.030876494023904</v>
      </c>
      <c r="G1449">
        <v>-0.251849231857536</v>
      </c>
      <c r="H1449">
        <v>0.220154494382022</v>
      </c>
      <c r="I1449">
        <v>-0.104529809125881</v>
      </c>
    </row>
    <row r="1450" spans="1:9">
      <c r="A1450" s="1" t="s">
        <v>1462</v>
      </c>
      <c r="B1450">
        <f>HYPERLINK("https://www.suredividend.com/sure-analysis-research-database/","Red River Bancshares Inc")</f>
        <v>0</v>
      </c>
      <c r="C1450">
        <v>-0.126132656759695</v>
      </c>
      <c r="D1450">
        <v>-0.04858491310593</v>
      </c>
      <c r="E1450">
        <v>-0.084267518463726</v>
      </c>
      <c r="F1450">
        <v>-0.055620838229533</v>
      </c>
      <c r="G1450">
        <v>-0.086091610692462</v>
      </c>
      <c r="H1450">
        <v>-0.061531754558051</v>
      </c>
      <c r="I1450">
        <v>-0.024776974867074</v>
      </c>
    </row>
    <row r="1451" spans="1:9">
      <c r="A1451" s="1" t="s">
        <v>1463</v>
      </c>
      <c r="B1451">
        <f>HYPERLINK("https://www.suredividend.com/sure-analysis-research-database/","Range Resources Corp")</f>
        <v>0</v>
      </c>
      <c r="C1451">
        <v>-0.021674289123086</v>
      </c>
      <c r="D1451">
        <v>-0.089209352264943</v>
      </c>
      <c r="E1451">
        <v>-0.034495209761802</v>
      </c>
      <c r="F1451">
        <v>-0.016786570743405</v>
      </c>
      <c r="G1451">
        <v>0.322083087010265</v>
      </c>
      <c r="H1451">
        <v>2.289385713903672</v>
      </c>
      <c r="I1451">
        <v>0.478392038317998</v>
      </c>
    </row>
    <row r="1452" spans="1:9">
      <c r="A1452" s="1" t="s">
        <v>1464</v>
      </c>
      <c r="B1452">
        <f>HYPERLINK("https://www.suredividend.com/sure-analysis-research-database/","Red Robin Gourmet Burgers Inc")</f>
        <v>0</v>
      </c>
      <c r="C1452">
        <v>0</v>
      </c>
      <c r="D1452">
        <v>-0.024096385542168</v>
      </c>
      <c r="E1452">
        <v>-0.106617647058823</v>
      </c>
      <c r="F1452">
        <v>0.306451612903225</v>
      </c>
      <c r="G1452">
        <v>-0.5716803760282021</v>
      </c>
      <c r="H1452">
        <v>-0.666819012797075</v>
      </c>
      <c r="I1452">
        <v>-0.8642458100558651</v>
      </c>
    </row>
    <row r="1453" spans="1:9">
      <c r="A1453" s="1" t="s">
        <v>1465</v>
      </c>
      <c r="B1453">
        <f>HYPERLINK("https://www.suredividend.com/sure-analysis-research-database/","Red Rock Resorts Inc")</f>
        <v>0</v>
      </c>
      <c r="C1453">
        <v>0.012990359724028</v>
      </c>
      <c r="D1453">
        <v>0.196723126314624</v>
      </c>
      <c r="E1453">
        <v>0.360064920767725</v>
      </c>
      <c r="F1453">
        <v>0.08072981754561301</v>
      </c>
      <c r="G1453">
        <v>-0.100594472940872</v>
      </c>
      <c r="H1453">
        <v>0.902867503388547</v>
      </c>
      <c r="I1453">
        <v>0.480046414036481</v>
      </c>
    </row>
    <row r="1454" spans="1:9">
      <c r="A1454" s="1" t="s">
        <v>1466</v>
      </c>
      <c r="B1454">
        <f>HYPERLINK("https://www.suredividend.com/sure-analysis-research-database/","Rush Street Interactive Inc")</f>
        <v>0</v>
      </c>
      <c r="C1454">
        <v>0.06798866855524001</v>
      </c>
      <c r="D1454">
        <v>0</v>
      </c>
      <c r="E1454">
        <v>-0.31578947368421</v>
      </c>
      <c r="F1454">
        <v>0.050139275766016</v>
      </c>
      <c r="G1454">
        <v>-0.7501656726308811</v>
      </c>
      <c r="H1454">
        <v>-0.820047732696897</v>
      </c>
      <c r="I1454">
        <v>-0.608108108108108</v>
      </c>
    </row>
    <row r="1455" spans="1:9">
      <c r="A1455" s="1" t="s">
        <v>1467</v>
      </c>
      <c r="B1455">
        <f>HYPERLINK("https://www.suredividend.com/sure-analysis-research-database/","Rubius Therapeutics Inc")</f>
        <v>0</v>
      </c>
      <c r="C1455">
        <v>0.09939393939393901</v>
      </c>
      <c r="D1455">
        <v>-0.562364294330518</v>
      </c>
      <c r="E1455">
        <v>-0.80155344054261</v>
      </c>
      <c r="F1455">
        <v>0.03657142857142801</v>
      </c>
      <c r="G1455">
        <v>-0.98094537815126</v>
      </c>
      <c r="H1455">
        <v>-0.98096537250787</v>
      </c>
      <c r="I1455">
        <v>-0.9925195876288661</v>
      </c>
    </row>
    <row r="1456" spans="1:9">
      <c r="A1456" s="1" t="s">
        <v>1468</v>
      </c>
      <c r="B1456">
        <f>HYPERLINK("https://www.suredividend.com/sure-analysis-research-database/","Rush Enterprises Inc")</f>
        <v>0</v>
      </c>
      <c r="C1456">
        <v>0.05003013863773301</v>
      </c>
      <c r="D1456">
        <v>0.154284502637228</v>
      </c>
      <c r="E1456">
        <v>0.072651291861314</v>
      </c>
      <c r="F1456">
        <v>-0.000382555470543</v>
      </c>
      <c r="G1456">
        <v>-0.084271228138421</v>
      </c>
      <c r="H1456">
        <v>0.237892881760621</v>
      </c>
      <c r="I1456">
        <v>0.603564294459326</v>
      </c>
    </row>
    <row r="1457" spans="1:9">
      <c r="A1457" s="1" t="s">
        <v>1469</v>
      </c>
      <c r="B1457">
        <f>HYPERLINK("https://www.suredividend.com/sure-analysis-research-database/","Rush Enterprises Inc")</f>
        <v>0</v>
      </c>
      <c r="C1457">
        <v>0.07110851353984</v>
      </c>
      <c r="D1457">
        <v>0.133631621270541</v>
      </c>
      <c r="E1457">
        <v>0.037166712570128</v>
      </c>
      <c r="F1457">
        <v>-0.022925182157455</v>
      </c>
      <c r="G1457">
        <v>0.004865317342242</v>
      </c>
      <c r="H1457">
        <v>0.407653765307402</v>
      </c>
      <c r="I1457">
        <v>1.685553791671754</v>
      </c>
    </row>
    <row r="1458" spans="1:9">
      <c r="A1458" s="1" t="s">
        <v>1470</v>
      </c>
      <c r="B1458">
        <f>HYPERLINK("https://www.suredividend.com/sure-analysis-research-database/","Ruths Hospitality Group Inc")</f>
        <v>0</v>
      </c>
      <c r="C1458">
        <v>0.07010185739964001</v>
      </c>
      <c r="D1458">
        <v>0.053333097424464</v>
      </c>
      <c r="E1458">
        <v>0.124182512856342</v>
      </c>
      <c r="F1458">
        <v>0.153746770025839</v>
      </c>
      <c r="G1458">
        <v>-0.070493637617424</v>
      </c>
      <c r="H1458">
        <v>0.05550564985107</v>
      </c>
      <c r="I1458">
        <v>-0.1022779821863</v>
      </c>
    </row>
    <row r="1459" spans="1:9">
      <c r="A1459" s="1" t="s">
        <v>1471</v>
      </c>
      <c r="B1459">
        <f>HYPERLINK("https://www.suredividend.com/sure-analysis-research-database/","Revolve Group Inc")</f>
        <v>0</v>
      </c>
      <c r="C1459">
        <v>-0.152745552977571</v>
      </c>
      <c r="D1459">
        <v>0.006893382352941</v>
      </c>
      <c r="E1459">
        <v>-0.245523415977961</v>
      </c>
      <c r="F1459">
        <v>-0.015723270440251</v>
      </c>
      <c r="G1459">
        <v>-0.597094520044133</v>
      </c>
      <c r="H1459">
        <v>-0.354639175257732</v>
      </c>
      <c r="I1459">
        <v>-0.355588235294117</v>
      </c>
    </row>
    <row r="1460" spans="1:9">
      <c r="A1460" s="1" t="s">
        <v>1472</v>
      </c>
      <c r="B1460">
        <f>HYPERLINK("https://www.suredividend.com/sure-analysis-research-database/","Revolution Medicines Inc")</f>
        <v>0</v>
      </c>
      <c r="C1460">
        <v>-0.068965517241379</v>
      </c>
      <c r="D1460">
        <v>0.203260869565217</v>
      </c>
      <c r="E1460">
        <v>-0.054250320375907</v>
      </c>
      <c r="F1460">
        <v>-0.07052896725440801</v>
      </c>
      <c r="G1460">
        <v>-0.03487358326068001</v>
      </c>
      <c r="H1460">
        <v>-0.450892857142857</v>
      </c>
      <c r="I1460">
        <v>-0.233910034602076</v>
      </c>
    </row>
    <row r="1461" spans="1:9">
      <c r="A1461" s="1" t="s">
        <v>1473</v>
      </c>
      <c r="B1461">
        <f>HYPERLINK("https://www.suredividend.com/sure-analysis-research-database/","Revance Therapeutics Inc")</f>
        <v>0</v>
      </c>
      <c r="C1461">
        <v>0.411600928074245</v>
      </c>
      <c r="D1461">
        <v>0.03575076608784401</v>
      </c>
      <c r="E1461">
        <v>0.9817589576547231</v>
      </c>
      <c r="F1461">
        <v>0.647887323943662</v>
      </c>
      <c r="G1461">
        <v>0.8731527093596061</v>
      </c>
      <c r="H1461">
        <v>0.037163314012956</v>
      </c>
      <c r="I1461">
        <v>-0.09329359165424701</v>
      </c>
    </row>
    <row r="1462" spans="1:9">
      <c r="A1462" s="1" t="s">
        <v>1474</v>
      </c>
      <c r="B1462">
        <f>HYPERLINK("https://www.suredividend.com/sure-analysis-research-database/","Retractable Technologies Inc")</f>
        <v>0</v>
      </c>
      <c r="C1462">
        <v>-0.08866995073891601</v>
      </c>
      <c r="D1462">
        <v>-0.08415841584158401</v>
      </c>
      <c r="E1462">
        <v>-0.5804988662131511</v>
      </c>
      <c r="F1462">
        <v>0.127980001219437</v>
      </c>
      <c r="G1462">
        <v>-0.7136222910216711</v>
      </c>
      <c r="H1462">
        <v>-0.8364279398762151</v>
      </c>
      <c r="I1462">
        <v>1.466337821623783</v>
      </c>
    </row>
    <row r="1463" spans="1:9">
      <c r="A1463" s="1" t="s">
        <v>1475</v>
      </c>
      <c r="B1463">
        <f>HYPERLINK("https://www.suredividend.com/sure-analysis-research-database/","Redwood Trust Inc.")</f>
        <v>0</v>
      </c>
      <c r="C1463">
        <v>-0.03922279027951101</v>
      </c>
      <c r="D1463">
        <v>0.297900880977413</v>
      </c>
      <c r="E1463">
        <v>-0.045307874876663</v>
      </c>
      <c r="F1463">
        <v>0.059171597633136</v>
      </c>
      <c r="G1463">
        <v>-0.381430829971231</v>
      </c>
      <c r="H1463">
        <v>-0.017360872847045</v>
      </c>
      <c r="I1463">
        <v>-0.280467093428735</v>
      </c>
    </row>
    <row r="1464" spans="1:9">
      <c r="A1464" s="1" t="s">
        <v>1476</v>
      </c>
      <c r="B1464">
        <f>HYPERLINK("https://www.suredividend.com/sure-analysis-research-database/","Prometheus Biosciences Inc")</f>
        <v>0</v>
      </c>
      <c r="C1464">
        <v>-0.016606170598911</v>
      </c>
      <c r="D1464">
        <v>0.968931686046511</v>
      </c>
      <c r="E1464">
        <v>2.533420280404304</v>
      </c>
      <c r="F1464">
        <v>-0.014818181818181</v>
      </c>
      <c r="G1464">
        <v>2.056119571347997</v>
      </c>
      <c r="H1464">
        <v>3.285092922103598</v>
      </c>
      <c r="I1464">
        <v>3.285092922103598</v>
      </c>
    </row>
    <row r="1465" spans="1:9">
      <c r="A1465" s="1" t="s">
        <v>1477</v>
      </c>
      <c r="B1465">
        <f>HYPERLINK("https://www.suredividend.com/sure-analysis-research-database/","Recursion Pharmaceuticals Inc")</f>
        <v>0</v>
      </c>
      <c r="C1465">
        <v>-0.127610208816705</v>
      </c>
      <c r="D1465">
        <v>-0.302411873840445</v>
      </c>
      <c r="E1465">
        <v>-0.160714285714285</v>
      </c>
      <c r="F1465">
        <v>-0.024643320363164</v>
      </c>
      <c r="G1465">
        <v>-0.5240506329113921</v>
      </c>
      <c r="H1465">
        <v>-0.7597444089456871</v>
      </c>
      <c r="I1465">
        <v>-0.7597444089456871</v>
      </c>
    </row>
    <row r="1466" spans="1:9">
      <c r="A1466" s="1" t="s">
        <v>1478</v>
      </c>
      <c r="B1466">
        <f>HYPERLINK("https://www.suredividend.com/sure-analysis-research-database/","RxSight Inc")</f>
        <v>0</v>
      </c>
      <c r="C1466">
        <v>0.014221556886227</v>
      </c>
      <c r="D1466">
        <v>0.232939035486806</v>
      </c>
      <c r="E1466">
        <v>-0.11437908496732</v>
      </c>
      <c r="F1466">
        <v>0.06945540647198101</v>
      </c>
      <c r="G1466">
        <v>0.5105908584169451</v>
      </c>
      <c r="H1466">
        <v>-0.153124999999999</v>
      </c>
      <c r="I1466">
        <v>-0.153124999999999</v>
      </c>
    </row>
    <row r="1467" spans="1:9">
      <c r="A1467" s="1" t="s">
        <v>1479</v>
      </c>
      <c r="B1467">
        <f>HYPERLINK("https://www.suredividend.com/sure-analysis-research-database/","Rackspace Technology Inc")</f>
        <v>0</v>
      </c>
      <c r="C1467">
        <v>-0.173374613003095</v>
      </c>
      <c r="D1467">
        <v>-0.395927601809954</v>
      </c>
      <c r="E1467">
        <v>-0.625</v>
      </c>
      <c r="F1467">
        <v>-0.09491525423728801</v>
      </c>
      <c r="G1467">
        <v>-0.7984905660377351</v>
      </c>
      <c r="H1467">
        <v>-0.8643981716607411</v>
      </c>
      <c r="I1467">
        <v>-0.8370957901159241</v>
      </c>
    </row>
    <row r="1468" spans="1:9">
      <c r="A1468" s="1" t="s">
        <v>1480</v>
      </c>
      <c r="B1468">
        <f>HYPERLINK("https://www.suredividend.com/sure-analysis-research-database/","Rayonier Advanced Materials Inc")</f>
        <v>0</v>
      </c>
      <c r="C1468">
        <v>0.119804400977995</v>
      </c>
      <c r="D1468">
        <v>1.880503144654088</v>
      </c>
      <c r="E1468">
        <v>2.225352112676056</v>
      </c>
      <c r="F1468">
        <v>-0.045833333333333</v>
      </c>
      <c r="G1468">
        <v>0.521594684385382</v>
      </c>
      <c r="H1468">
        <v>0.301136363636363</v>
      </c>
      <c r="I1468">
        <v>-0.5085151362314481</v>
      </c>
    </row>
    <row r="1469" spans="1:9">
      <c r="A1469" s="1" t="s">
        <v>1481</v>
      </c>
      <c r="B1469">
        <f>HYPERLINK("https://www.suredividend.com/sure-analysis-research-database/","Ryerson Holding Corp.")</f>
        <v>0</v>
      </c>
      <c r="C1469">
        <v>0.077291381668946</v>
      </c>
      <c r="D1469">
        <v>0.120733208570229</v>
      </c>
      <c r="E1469">
        <v>0.560595701673553</v>
      </c>
      <c r="F1469">
        <v>0.04097818902842</v>
      </c>
      <c r="G1469">
        <v>0.2202066216546</v>
      </c>
      <c r="H1469">
        <v>1.054660491813972</v>
      </c>
      <c r="I1469">
        <v>2.047099451522098</v>
      </c>
    </row>
    <row r="1470" spans="1:9">
      <c r="A1470" s="1" t="s">
        <v>1482</v>
      </c>
      <c r="B1470">
        <f>HYPERLINK("https://www.suredividend.com/sure-analysis-research-database/","Rhythm Pharmaceuticals Inc.")</f>
        <v>0</v>
      </c>
      <c r="C1470">
        <v>0.271382893685052</v>
      </c>
      <c r="D1470">
        <v>0.328183716075156</v>
      </c>
      <c r="E1470">
        <v>5.505112474437628</v>
      </c>
      <c r="F1470">
        <v>0.09237637362637301</v>
      </c>
      <c r="G1470">
        <v>2.416756176154672</v>
      </c>
      <c r="H1470">
        <v>-0.061097992916174</v>
      </c>
      <c r="I1470">
        <v>0.209965766451122</v>
      </c>
    </row>
    <row r="1471" spans="1:9">
      <c r="A1471" s="1" t="s">
        <v>1483</v>
      </c>
      <c r="B1471">
        <f>HYPERLINK("https://www.suredividend.com/sure-analysis-SAFE/","Safehold Inc")</f>
        <v>0</v>
      </c>
      <c r="C1471">
        <v>0.134601909035788</v>
      </c>
      <c r="D1471">
        <v>0.296486831842546</v>
      </c>
      <c r="E1471">
        <v>-0.190674498347681</v>
      </c>
      <c r="F1471">
        <v>0.09189378057302501</v>
      </c>
      <c r="G1471">
        <v>-0.5483594971687561</v>
      </c>
      <c r="H1471">
        <v>-0.566605459800402</v>
      </c>
      <c r="I1471">
        <v>0.925814542518903</v>
      </c>
    </row>
    <row r="1472" spans="1:9">
      <c r="A1472" s="1" t="s">
        <v>1484</v>
      </c>
      <c r="B1472">
        <f>HYPERLINK("https://www.suredividend.com/sure-analysis-research-database/","Sanderson Farms, Inc.")</f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</row>
    <row r="1473" spans="1:9">
      <c r="A1473" s="1" t="s">
        <v>1485</v>
      </c>
      <c r="B1473">
        <f>HYPERLINK("https://www.suredividend.com/sure-analysis-research-database/","Safety Insurance Group, Inc.")</f>
        <v>0</v>
      </c>
      <c r="C1473">
        <v>-0.013272257458303</v>
      </c>
      <c r="D1473">
        <v>0.08528133215344501</v>
      </c>
      <c r="E1473">
        <v>-0.114060610023211</v>
      </c>
      <c r="F1473">
        <v>-0.002967006883455</v>
      </c>
      <c r="G1473">
        <v>-0.001463157782133</v>
      </c>
      <c r="H1473">
        <v>0.125486145441051</v>
      </c>
      <c r="I1473">
        <v>0.300528818765016</v>
      </c>
    </row>
    <row r="1474" spans="1:9">
      <c r="A1474" s="1" t="s">
        <v>1486</v>
      </c>
      <c r="B1474">
        <f>HYPERLINK("https://www.suredividend.com/sure-analysis-research-database/","Sonic Automotive, Inc.")</f>
        <v>0</v>
      </c>
      <c r="C1474">
        <v>-0.03794374918001001</v>
      </c>
      <c r="D1474">
        <v>0.121451381327708</v>
      </c>
      <c r="E1474">
        <v>0.354458437176065</v>
      </c>
      <c r="F1474">
        <v>-0.002841485691089</v>
      </c>
      <c r="G1474">
        <v>0.011109236018785</v>
      </c>
      <c r="H1474">
        <v>0.185655332191037</v>
      </c>
      <c r="I1474">
        <v>1.590889434993092</v>
      </c>
    </row>
    <row r="1475" spans="1:9">
      <c r="A1475" s="1" t="s">
        <v>1487</v>
      </c>
      <c r="B1475">
        <f>HYPERLINK("https://www.suredividend.com/sure-analysis-research-database/","Saia Inc.")</f>
        <v>0</v>
      </c>
      <c r="C1475">
        <v>-0.003985634197617</v>
      </c>
      <c r="D1475">
        <v>0.151326447954637</v>
      </c>
      <c r="E1475">
        <v>0.10942530978632</v>
      </c>
      <c r="F1475">
        <v>0.084557420831743</v>
      </c>
      <c r="G1475">
        <v>-0.195805926868943</v>
      </c>
      <c r="H1475">
        <v>0.177436056746401</v>
      </c>
      <c r="I1475">
        <v>2.083525423728813</v>
      </c>
    </row>
    <row r="1476" spans="1:9">
      <c r="A1476" s="1" t="s">
        <v>1488</v>
      </c>
      <c r="B1476">
        <f>HYPERLINK("https://www.suredividend.com/sure-analysis-research-database/","SailPoint Technologies Holdings Inc")</f>
        <v>0</v>
      </c>
      <c r="C1476">
        <v>0.025302530253025</v>
      </c>
      <c r="D1476">
        <v>0.08192371475953501</v>
      </c>
      <c r="E1476">
        <v>0.577369439071566</v>
      </c>
      <c r="F1476">
        <v>0.349606950765411</v>
      </c>
      <c r="G1476">
        <v>0.476352115863317</v>
      </c>
      <c r="H1476">
        <v>0.7878870923540691</v>
      </c>
      <c r="I1476">
        <v>4.018461538461538</v>
      </c>
    </row>
    <row r="1477" spans="1:9">
      <c r="A1477" s="1" t="s">
        <v>1489</v>
      </c>
      <c r="B1477">
        <f>HYPERLINK("https://www.suredividend.com/sure-analysis-research-database/","Sana Biotechnology Inc")</f>
        <v>0</v>
      </c>
      <c r="C1477">
        <v>-0.09443099273607701</v>
      </c>
      <c r="D1477">
        <v>-0.3187613843351541</v>
      </c>
      <c r="E1477">
        <v>-0.5764439411098521</v>
      </c>
      <c r="F1477">
        <v>-0.053164556962025</v>
      </c>
      <c r="G1477">
        <v>-0.7059748427672951</v>
      </c>
      <c r="H1477">
        <v>-0.8934472934472931</v>
      </c>
      <c r="I1477">
        <v>-0.8934472934472931</v>
      </c>
    </row>
    <row r="1478" spans="1:9">
      <c r="A1478" s="1" t="s">
        <v>1490</v>
      </c>
      <c r="B1478">
        <f>HYPERLINK("https://www.suredividend.com/sure-analysis-research-database/","Sanmina Corp")</f>
        <v>0</v>
      </c>
      <c r="C1478">
        <v>-0.05665813060179201</v>
      </c>
      <c r="D1478">
        <v>0.185915492957746</v>
      </c>
      <c r="E1478">
        <v>0.441075794621026</v>
      </c>
      <c r="F1478">
        <v>0.028800837842555</v>
      </c>
      <c r="G1478">
        <v>0.444962000490316</v>
      </c>
      <c r="H1478">
        <v>0.688825214899713</v>
      </c>
      <c r="I1478">
        <v>0.7541666666666661</v>
      </c>
    </row>
    <row r="1479" spans="1:9">
      <c r="A1479" s="1" t="s">
        <v>1491</v>
      </c>
      <c r="B1479">
        <f>HYPERLINK("https://www.suredividend.com/sure-analysis-research-database/","Sandy Spring Bancorp")</f>
        <v>0</v>
      </c>
      <c r="C1479">
        <v>0.007194244604316001</v>
      </c>
      <c r="D1479">
        <v>-0.011053595244015</v>
      </c>
      <c r="E1479">
        <v>-0.08157454859389</v>
      </c>
      <c r="F1479">
        <v>-0.006528526823729001</v>
      </c>
      <c r="G1479">
        <v>-0.289983081311137</v>
      </c>
      <c r="H1479">
        <v>0.05627214399101801</v>
      </c>
      <c r="I1479">
        <v>0.04277150790718701</v>
      </c>
    </row>
    <row r="1480" spans="1:9">
      <c r="A1480" s="1" t="s">
        <v>1492</v>
      </c>
      <c r="B1480">
        <f>HYPERLINK("https://www.suredividend.com/sure-analysis-research-database/","EchoStar Corp")</f>
        <v>0</v>
      </c>
      <c r="C1480">
        <v>-0.036079374624173</v>
      </c>
      <c r="D1480">
        <v>-0.068564787914003</v>
      </c>
      <c r="E1480">
        <v>-0.155426765015806</v>
      </c>
      <c r="F1480">
        <v>-0.038968824940047</v>
      </c>
      <c r="G1480">
        <v>-0.386763580719204</v>
      </c>
      <c r="H1480">
        <v>-0.285013380909901</v>
      </c>
      <c r="I1480">
        <v>-0.738328436173685</v>
      </c>
    </row>
    <row r="1481" spans="1:9">
      <c r="A1481" s="1" t="s">
        <v>1493</v>
      </c>
      <c r="B1481">
        <f>HYPERLINK("https://www.suredividend.com/sure-analysis-research-database/","Cassava Sciences Inc")</f>
        <v>0</v>
      </c>
      <c r="C1481">
        <v>-0.255873999483604</v>
      </c>
      <c r="D1481">
        <v>-0.278236914600551</v>
      </c>
      <c r="E1481">
        <v>0.186985172981878</v>
      </c>
      <c r="F1481">
        <v>-0.024373730534867</v>
      </c>
      <c r="G1481">
        <v>-0.398957247132429</v>
      </c>
      <c r="H1481">
        <v>2.439140811455847</v>
      </c>
      <c r="I1481">
        <v>2.188053097345133</v>
      </c>
    </row>
    <row r="1482" spans="1:9">
      <c r="A1482" s="1" t="s">
        <v>1494</v>
      </c>
      <c r="B1482">
        <f>HYPERLINK("https://www.suredividend.com/sure-analysis-research-database/","Spirit Airlines Inc")</f>
        <v>0</v>
      </c>
      <c r="C1482">
        <v>-0.047430830039525</v>
      </c>
      <c r="D1482">
        <v>0.043290043290043</v>
      </c>
      <c r="E1482">
        <v>-0.225702811244979</v>
      </c>
      <c r="F1482">
        <v>-0.010266940451745</v>
      </c>
      <c r="G1482">
        <v>-0.183396865734858</v>
      </c>
      <c r="H1482">
        <v>-0.211451942740286</v>
      </c>
      <c r="I1482">
        <v>-0.557696719431062</v>
      </c>
    </row>
    <row r="1483" spans="1:9">
      <c r="A1483" s="1" t="s">
        <v>1495</v>
      </c>
      <c r="B1483">
        <f>HYPERLINK("https://www.suredividend.com/sure-analysis-research-database/","Safe Bulkers, Inc")</f>
        <v>0</v>
      </c>
      <c r="C1483">
        <v>0.06227106227106201</v>
      </c>
      <c r="D1483">
        <v>0.102661596958175</v>
      </c>
      <c r="E1483">
        <v>-0.127740848798387</v>
      </c>
      <c r="F1483">
        <v>-0.003436426116838</v>
      </c>
      <c r="G1483">
        <v>-0.192919959924301</v>
      </c>
      <c r="H1483">
        <v>0.725471529719759</v>
      </c>
      <c r="I1483">
        <v>-0.156633513639271</v>
      </c>
    </row>
    <row r="1484" spans="1:9">
      <c r="A1484" s="1" t="s">
        <v>1496</v>
      </c>
      <c r="B1484">
        <f>HYPERLINK("https://www.suredividend.com/sure-analysis-research-database/","Seacoast Banking Corp. Of Florida")</f>
        <v>0</v>
      </c>
      <c r="C1484">
        <v>-0.0228551993357</v>
      </c>
      <c r="D1484">
        <v>0.039900346959538</v>
      </c>
      <c r="E1484">
        <v>-0.034625141521714</v>
      </c>
      <c r="F1484">
        <v>0.022443090734209</v>
      </c>
      <c r="G1484">
        <v>-0.147535900259829</v>
      </c>
      <c r="H1484">
        <v>0.013677816380957</v>
      </c>
      <c r="I1484">
        <v>0.282701032918235</v>
      </c>
    </row>
    <row r="1485" spans="1:9">
      <c r="A1485" s="1" t="s">
        <v>1497</v>
      </c>
      <c r="B1485">
        <f>HYPERLINK("https://www.suredividend.com/sure-analysis-research-database/","Sinclair Broadcast Group, Inc.")</f>
        <v>0</v>
      </c>
      <c r="C1485">
        <v>0.014492753623188</v>
      </c>
      <c r="D1485">
        <v>-0.04468160602669401</v>
      </c>
      <c r="E1485">
        <v>-0.147402012131251</v>
      </c>
      <c r="F1485">
        <v>0.128304319793681</v>
      </c>
      <c r="G1485">
        <v>-0.372865502943948</v>
      </c>
      <c r="H1485">
        <v>-0.4282148213253</v>
      </c>
      <c r="I1485">
        <v>-0.43488594383735</v>
      </c>
    </row>
    <row r="1486" spans="1:9">
      <c r="A1486" s="1" t="s">
        <v>1498</v>
      </c>
      <c r="B1486">
        <f>HYPERLINK("https://www.suredividend.com/sure-analysis-research-database/","Sally Beauty Holdings Inc")</f>
        <v>0</v>
      </c>
      <c r="C1486">
        <v>0.255731922398589</v>
      </c>
      <c r="D1486">
        <v>0.13738019169329</v>
      </c>
      <c r="E1486">
        <v>0.111631537861045</v>
      </c>
      <c r="F1486">
        <v>0.13738019169329</v>
      </c>
      <c r="G1486">
        <v>-0.211080332409972</v>
      </c>
      <c r="H1486">
        <v>0.069872276483846</v>
      </c>
      <c r="I1486">
        <v>-0.201793721973094</v>
      </c>
    </row>
    <row r="1487" spans="1:9">
      <c r="A1487" s="1" t="s">
        <v>1499</v>
      </c>
      <c r="B1487">
        <f>HYPERLINK("https://www.suredividend.com/sure-analysis-SBRA/","Sabra Healthcare REIT Inc")</f>
        <v>0</v>
      </c>
      <c r="C1487">
        <v>0.028571428571428</v>
      </c>
      <c r="D1487">
        <v>0.059836608522852</v>
      </c>
      <c r="E1487">
        <v>-0.05544177775186301</v>
      </c>
      <c r="F1487">
        <v>0.04263877715205101</v>
      </c>
      <c r="G1487">
        <v>-0.009696719620383001</v>
      </c>
      <c r="H1487">
        <v>-0.112334847021595</v>
      </c>
      <c r="I1487">
        <v>0.079046841956271</v>
      </c>
    </row>
    <row r="1488" spans="1:9">
      <c r="A1488" s="1" t="s">
        <v>1500</v>
      </c>
      <c r="B1488">
        <f>HYPERLINK("https://www.suredividend.com/sure-analysis-SBSI/","Southside Bancshares Inc")</f>
        <v>0</v>
      </c>
      <c r="C1488">
        <v>0.018603319977103</v>
      </c>
      <c r="D1488">
        <v>0.014081457040443</v>
      </c>
      <c r="E1488">
        <v>-0.03838099998649</v>
      </c>
      <c r="F1488">
        <v>-0.011114198388441</v>
      </c>
      <c r="G1488">
        <v>-0.168640532219559</v>
      </c>
      <c r="H1488">
        <v>0.161026818773467</v>
      </c>
      <c r="I1488">
        <v>0.216323824431055</v>
      </c>
    </row>
    <row r="1489" spans="1:9">
      <c r="A1489" s="1" t="s">
        <v>1501</v>
      </c>
      <c r="B1489">
        <f>HYPERLINK("https://www.suredividend.com/sure-analysis-research-database/","Silverback Therapeutics Inc")</f>
        <v>0</v>
      </c>
      <c r="C1489">
        <v>0.118095238095238</v>
      </c>
      <c r="D1489">
        <v>0.178714859437751</v>
      </c>
      <c r="E1489">
        <v>0.9437086092715231</v>
      </c>
      <c r="F1489">
        <v>-0.118618618618618</v>
      </c>
      <c r="G1489">
        <v>-0.332954545454545</v>
      </c>
      <c r="H1489">
        <v>-0.7652</v>
      </c>
      <c r="I1489">
        <v>-0.7652</v>
      </c>
    </row>
    <row r="1490" spans="1:9">
      <c r="A1490" s="1" t="s">
        <v>1502</v>
      </c>
      <c r="B1490">
        <f>HYPERLINK("https://www.suredividend.com/sure-analysis-SCHL/","Scholastic Corp.")</f>
        <v>0</v>
      </c>
      <c r="C1490">
        <v>0.09032084119708701</v>
      </c>
      <c r="D1490">
        <v>0.272438368233091</v>
      </c>
      <c r="E1490">
        <v>0.197689915593069</v>
      </c>
      <c r="F1490">
        <v>0.024835276229092</v>
      </c>
      <c r="G1490">
        <v>-0.02351390116338</v>
      </c>
      <c r="H1490">
        <v>0.616184222620983</v>
      </c>
      <c r="I1490">
        <v>0.124601634065084</v>
      </c>
    </row>
    <row r="1491" spans="1:9">
      <c r="A1491" s="1" t="s">
        <v>1503</v>
      </c>
      <c r="B1491">
        <f>HYPERLINK("https://www.suredividend.com/sure-analysis-research-database/","Schnitzer Steel Industries, Inc.")</f>
        <v>0</v>
      </c>
      <c r="C1491">
        <v>-0.05652306752215001</v>
      </c>
      <c r="D1491">
        <v>0.104822147963163</v>
      </c>
      <c r="E1491">
        <v>-0.07636167858104201</v>
      </c>
      <c r="F1491">
        <v>0.007504078303425</v>
      </c>
      <c r="G1491">
        <v>-0.353290303124227</v>
      </c>
      <c r="H1491">
        <v>-0.136863583637303</v>
      </c>
      <c r="I1491">
        <v>-0.027291283421112</v>
      </c>
    </row>
    <row r="1492" spans="1:9">
      <c r="A1492" s="1" t="s">
        <v>1504</v>
      </c>
      <c r="B1492">
        <f>HYPERLINK("https://www.suredividend.com/sure-analysis-SCL/","Stepan Co.")</f>
        <v>0</v>
      </c>
      <c r="C1492">
        <v>-0.038385826771653</v>
      </c>
      <c r="D1492">
        <v>0.162868705230582</v>
      </c>
      <c r="E1492">
        <v>0.102931743847258</v>
      </c>
      <c r="F1492">
        <v>0.009487131316926</v>
      </c>
      <c r="G1492">
        <v>-0.111214395233786</v>
      </c>
      <c r="H1492">
        <v>-0.136828747208969</v>
      </c>
      <c r="I1492">
        <v>0.4539969017838411</v>
      </c>
    </row>
    <row r="1493" spans="1:9">
      <c r="A1493" s="1" t="s">
        <v>1505</v>
      </c>
      <c r="B1493">
        <f>HYPERLINK("https://www.suredividend.com/sure-analysis-research-database/","Comscore Inc.")</f>
        <v>0</v>
      </c>
      <c r="C1493">
        <v>0.067226890756302</v>
      </c>
      <c r="D1493">
        <v>-0.130136986301369</v>
      </c>
      <c r="E1493">
        <v>-0.3618090452261301</v>
      </c>
      <c r="F1493">
        <v>0.09482758620689601</v>
      </c>
      <c r="G1493">
        <v>-0.623145400593471</v>
      </c>
      <c r="H1493">
        <v>-0.613981762917933</v>
      </c>
      <c r="I1493">
        <v>-0.9444444444444441</v>
      </c>
    </row>
    <row r="1494" spans="1:9">
      <c r="A1494" s="1" t="s">
        <v>1506</v>
      </c>
      <c r="B1494">
        <f>HYPERLINK("https://www.suredividend.com/sure-analysis-research-database/","Steelcase, Inc.")</f>
        <v>0</v>
      </c>
      <c r="C1494">
        <v>0.10414052697616</v>
      </c>
      <c r="D1494">
        <v>0.077483758516875</v>
      </c>
      <c r="E1494">
        <v>-0.276714660065559</v>
      </c>
      <c r="F1494">
        <v>0.057991513437058</v>
      </c>
      <c r="G1494">
        <v>-0.337484389254492</v>
      </c>
      <c r="H1494">
        <v>-0.380774197821119</v>
      </c>
      <c r="I1494">
        <v>-0.397085375290172</v>
      </c>
    </row>
    <row r="1495" spans="1:9">
      <c r="A1495" s="1" t="s">
        <v>1507</v>
      </c>
      <c r="B1495">
        <f>HYPERLINK("https://www.suredividend.com/sure-analysis-research-database/","Scansource, Inc.")</f>
        <v>0</v>
      </c>
      <c r="C1495">
        <v>0</v>
      </c>
      <c r="D1495">
        <v>0.134160090191657</v>
      </c>
      <c r="E1495">
        <v>-0.022351797862002</v>
      </c>
      <c r="F1495">
        <v>0.032854209445585</v>
      </c>
      <c r="G1495">
        <v>-0.133007756391841</v>
      </c>
      <c r="H1495">
        <v>0.07097232079489001</v>
      </c>
      <c r="I1495">
        <v>-0.143829787234042</v>
      </c>
    </row>
    <row r="1496" spans="1:9">
      <c r="A1496" s="1" t="s">
        <v>1508</v>
      </c>
      <c r="B1496">
        <f>HYPERLINK("https://www.suredividend.com/sure-analysis-research-database/","Sculptor Capital Management Inc")</f>
        <v>0</v>
      </c>
      <c r="C1496">
        <v>-0.014690451206715</v>
      </c>
      <c r="D1496">
        <v>-0.07560543414057801</v>
      </c>
      <c r="E1496">
        <v>0.143755024482935</v>
      </c>
      <c r="F1496">
        <v>0.08429561200923701</v>
      </c>
      <c r="G1496">
        <v>-0.540838031715916</v>
      </c>
      <c r="H1496">
        <v>-0.327392805466813</v>
      </c>
      <c r="I1496">
        <v>-0.434844627412743</v>
      </c>
    </row>
    <row r="1497" spans="1:9">
      <c r="A1497" s="1" t="s">
        <v>1509</v>
      </c>
      <c r="B1497">
        <f>HYPERLINK("https://www.suredividend.com/sure-analysis-research-database/","Shoe Carnival, Inc.")</f>
        <v>0</v>
      </c>
      <c r="C1497">
        <v>0.033386327503974</v>
      </c>
      <c r="D1497">
        <v>0.09471722791081001</v>
      </c>
      <c r="E1497">
        <v>0.149068615005594</v>
      </c>
      <c r="F1497">
        <v>0.026041469875775</v>
      </c>
      <c r="G1497">
        <v>-0.347804042334028</v>
      </c>
      <c r="H1497">
        <v>0.248818374594415</v>
      </c>
      <c r="I1497">
        <v>1.022291544272794</v>
      </c>
    </row>
    <row r="1498" spans="1:9">
      <c r="A1498" s="1" t="s">
        <v>1510</v>
      </c>
      <c r="B1498">
        <f>HYPERLINK("https://www.suredividend.com/sure-analysis-research-database/","SecureWorks Corp")</f>
        <v>0</v>
      </c>
      <c r="C1498">
        <v>-0.012307692307692</v>
      </c>
      <c r="D1498">
        <v>-0.189393939393939</v>
      </c>
      <c r="E1498">
        <v>-0.4033457249070631</v>
      </c>
      <c r="F1498">
        <v>0.004694835680751</v>
      </c>
      <c r="G1498">
        <v>-0.5949526813880121</v>
      </c>
      <c r="H1498">
        <v>-0.5162019593067061</v>
      </c>
      <c r="I1498">
        <v>-0.286666666666666</v>
      </c>
    </row>
    <row r="1499" spans="1:9">
      <c r="A1499" s="1" t="s">
        <v>1511</v>
      </c>
      <c r="B1499">
        <f>HYPERLINK("https://www.suredividend.com/sure-analysis-research-database/","Schrodinger Inc")</f>
        <v>0</v>
      </c>
      <c r="C1499">
        <v>0.131594906003638</v>
      </c>
      <c r="D1499">
        <v>-0.239298817774154</v>
      </c>
      <c r="E1499">
        <v>-0.4172392254840721</v>
      </c>
      <c r="F1499">
        <v>-0.001605136436597</v>
      </c>
      <c r="G1499">
        <v>-0.415596617601002</v>
      </c>
      <c r="H1499">
        <v>-0.7901248453492291</v>
      </c>
      <c r="I1499">
        <v>-0.348463687150838</v>
      </c>
    </row>
    <row r="1500" spans="1:9">
      <c r="A1500" s="1" t="s">
        <v>1512</v>
      </c>
      <c r="B1500">
        <f>HYPERLINK("https://www.suredividend.com/sure-analysis-research-database/","Stronghold Digital Mining Inc")</f>
        <v>0</v>
      </c>
      <c r="C1500">
        <v>-0.068762278978389</v>
      </c>
      <c r="D1500">
        <v>-0.539805825242718</v>
      </c>
      <c r="E1500">
        <v>-0.759390862944162</v>
      </c>
      <c r="F1500">
        <v>-0.010644959298685</v>
      </c>
      <c r="G1500">
        <v>-0.9622009569377991</v>
      </c>
      <c r="H1500">
        <v>-0.9835986159169551</v>
      </c>
      <c r="I1500">
        <v>-0.9835986159169551</v>
      </c>
    </row>
    <row r="1501" spans="1:9">
      <c r="A1501" s="1" t="s">
        <v>1513</v>
      </c>
      <c r="B1501">
        <f>HYPERLINK("https://www.suredividend.com/sure-analysis-research-database/","SeaWorld Entertainment Inc")</f>
        <v>0</v>
      </c>
      <c r="C1501">
        <v>0.099393019726858</v>
      </c>
      <c r="D1501">
        <v>0.244310863031344</v>
      </c>
      <c r="E1501">
        <v>0.321176202416229</v>
      </c>
      <c r="F1501">
        <v>0.08316202578957101</v>
      </c>
      <c r="G1501">
        <v>-0.151763500658568</v>
      </c>
      <c r="H1501">
        <v>0.766534593111856</v>
      </c>
      <c r="I1501">
        <v>3.178803172314348</v>
      </c>
    </row>
    <row r="1502" spans="1:9">
      <c r="A1502" s="1" t="s">
        <v>1514</v>
      </c>
      <c r="B1502">
        <f>HYPERLINK("https://www.suredividend.com/sure-analysis-research-database/","Seelos Therapeutics Inc")</f>
        <v>0</v>
      </c>
      <c r="C1502">
        <v>-0.279279279279279</v>
      </c>
      <c r="D1502">
        <v>-0.238095238095238</v>
      </c>
      <c r="E1502">
        <v>-0.15798337017156</v>
      </c>
      <c r="F1502">
        <v>0.17820324005891</v>
      </c>
      <c r="G1502">
        <v>-0.45578231292517</v>
      </c>
      <c r="H1502">
        <v>-0.444444444444444</v>
      </c>
      <c r="I1502">
        <v>-0.6313364055299541</v>
      </c>
    </row>
    <row r="1503" spans="1:9">
      <c r="A1503" s="1" t="s">
        <v>1515</v>
      </c>
      <c r="B1503">
        <f>HYPERLINK("https://www.suredividend.com/sure-analysis-research-database/","Seer Inc")</f>
        <v>0</v>
      </c>
      <c r="C1503">
        <v>-0.168316831683168</v>
      </c>
      <c r="D1503">
        <v>-0.302904564315352</v>
      </c>
      <c r="E1503">
        <v>-0.529850746268656</v>
      </c>
      <c r="F1503">
        <v>-0.13103448275862</v>
      </c>
      <c r="G1503">
        <v>-0.729758713136729</v>
      </c>
      <c r="H1503">
        <v>-0.92021529206902</v>
      </c>
      <c r="I1503">
        <v>-0.910733262486716</v>
      </c>
    </row>
    <row r="1504" spans="1:9">
      <c r="A1504" s="1" t="s">
        <v>1516</v>
      </c>
      <c r="B1504">
        <f>HYPERLINK("https://www.suredividend.com/sure-analysis-research-database/","Selecta Biosciences Inc")</f>
        <v>0</v>
      </c>
      <c r="C1504">
        <v>0.07258064516129001</v>
      </c>
      <c r="D1504">
        <v>-0.193939393939393</v>
      </c>
      <c r="E1504">
        <v>-0.158227848101265</v>
      </c>
      <c r="F1504">
        <v>0.176991150442478</v>
      </c>
      <c r="G1504">
        <v>-0.5429553264604811</v>
      </c>
      <c r="H1504">
        <v>-0.6006006006006001</v>
      </c>
      <c r="I1504">
        <v>-0.8470385278895911</v>
      </c>
    </row>
    <row r="1505" spans="1:9">
      <c r="A1505" s="1" t="s">
        <v>1517</v>
      </c>
      <c r="B1505">
        <f>HYPERLINK("https://www.suredividend.com/sure-analysis-research-database/","Select Medical Holdings Corporation")</f>
        <v>0</v>
      </c>
      <c r="C1505">
        <v>0.114947368421052</v>
      </c>
      <c r="D1505">
        <v>0.161770383629918</v>
      </c>
      <c r="E1505">
        <v>0.04114651935439401</v>
      </c>
      <c r="F1505">
        <v>0.066451872734595</v>
      </c>
      <c r="G1505">
        <v>-0.036383088668767</v>
      </c>
      <c r="H1505">
        <v>-0.107732535414392</v>
      </c>
      <c r="I1505">
        <v>0.559683822403374</v>
      </c>
    </row>
    <row r="1506" spans="1:9">
      <c r="A1506" s="1" t="s">
        <v>1518</v>
      </c>
      <c r="B1506">
        <f>HYPERLINK("https://www.suredividend.com/sure-analysis-research-database/","Seneca Foods Corp.")</f>
        <v>0</v>
      </c>
      <c r="C1506">
        <v>-0.048190892077355</v>
      </c>
      <c r="D1506">
        <v>0.120844811753902</v>
      </c>
      <c r="E1506">
        <v>0.133333333333333</v>
      </c>
      <c r="F1506">
        <v>0.001312551271533</v>
      </c>
      <c r="G1506">
        <v>0.257572635483206</v>
      </c>
      <c r="H1506">
        <v>0.557285021689206</v>
      </c>
      <c r="I1506">
        <v>1.017520661157024</v>
      </c>
    </row>
    <row r="1507" spans="1:9">
      <c r="A1507" s="1" t="s">
        <v>1519</v>
      </c>
      <c r="B1507">
        <f>HYPERLINK("https://www.suredividend.com/sure-analysis-research-database/","Senseonics Holdings Inc")</f>
        <v>0</v>
      </c>
      <c r="C1507">
        <v>-0.045045045045045</v>
      </c>
      <c r="D1507">
        <v>-0.171875</v>
      </c>
      <c r="E1507">
        <v>-0.151999999999999</v>
      </c>
      <c r="F1507">
        <v>0.029126213592233</v>
      </c>
      <c r="G1507">
        <v>-0.6074074074074071</v>
      </c>
      <c r="H1507">
        <v>0.223312175418349</v>
      </c>
      <c r="I1507">
        <v>-0.645484949832775</v>
      </c>
    </row>
    <row r="1508" spans="1:9">
      <c r="A1508" s="1" t="s">
        <v>1520</v>
      </c>
      <c r="B1508">
        <f>HYPERLINK("https://www.suredividend.com/sure-analysis-research-database/","Sera Prognostics Inc")</f>
        <v>0</v>
      </c>
      <c r="C1508">
        <v>0.256363636363636</v>
      </c>
      <c r="D1508">
        <v>-0.131314285714285</v>
      </c>
      <c r="E1508">
        <v>-0.2399</v>
      </c>
      <c r="F1508">
        <v>0.206507936507936</v>
      </c>
      <c r="G1508">
        <v>-0.7828285714285711</v>
      </c>
      <c r="H1508">
        <v>-0.8722521008403361</v>
      </c>
      <c r="I1508">
        <v>-0.8722521008403361</v>
      </c>
    </row>
    <row r="1509" spans="1:9">
      <c r="A1509" s="1" t="s">
        <v>1521</v>
      </c>
      <c r="B1509">
        <f>HYPERLINK("https://www.suredividend.com/sure-analysis-research-database/","Sesen Bio Inc.")</f>
        <v>0</v>
      </c>
      <c r="C1509">
        <v>0.17377358490566</v>
      </c>
      <c r="D1509">
        <v>0.287991718426501</v>
      </c>
      <c r="E1509">
        <v>-0.326731601731601</v>
      </c>
      <c r="F1509">
        <v>0.020672682526661</v>
      </c>
      <c r="G1509">
        <v>-0.249306142150356</v>
      </c>
      <c r="H1509">
        <v>-0.58248322147651</v>
      </c>
      <c r="I1509">
        <v>-0.276207097149505</v>
      </c>
    </row>
    <row r="1510" spans="1:9">
      <c r="A1510" s="1" t="s">
        <v>1522</v>
      </c>
      <c r="B1510">
        <f>HYPERLINK("https://www.suredividend.com/sure-analysis-research-database/","ServisFirst Bancshares Inc")</f>
        <v>0</v>
      </c>
      <c r="C1510">
        <v>-0.05930988516447201</v>
      </c>
      <c r="D1510">
        <v>-0.168053041946884</v>
      </c>
      <c r="E1510">
        <v>-0.142152091875498</v>
      </c>
      <c r="F1510">
        <v>-0.008707009142359001</v>
      </c>
      <c r="G1510">
        <v>-0.214347164012936</v>
      </c>
      <c r="H1510">
        <v>0.6278665201880711</v>
      </c>
      <c r="I1510">
        <v>0.7673723046990211</v>
      </c>
    </row>
    <row r="1511" spans="1:9">
      <c r="A1511" s="1" t="s">
        <v>1523</v>
      </c>
      <c r="B1511">
        <f>HYPERLINK("https://www.suredividend.com/sure-analysis-research-database/","Stitch Fix Inc")</f>
        <v>0</v>
      </c>
      <c r="C1511">
        <v>-0.033505154639175</v>
      </c>
      <c r="D1511">
        <v>-0.03598971722365001</v>
      </c>
      <c r="E1511">
        <v>-0.308118081180811</v>
      </c>
      <c r="F1511">
        <v>0.205787781350482</v>
      </c>
      <c r="G1511">
        <v>-0.802839116719242</v>
      </c>
      <c r="H1511">
        <v>-0.932505399568034</v>
      </c>
      <c r="I1511">
        <v>-0.8512495041650131</v>
      </c>
    </row>
    <row r="1512" spans="1:9">
      <c r="A1512" s="1" t="s">
        <v>1524</v>
      </c>
      <c r="B1512">
        <f>HYPERLINK("https://www.suredividend.com/sure-analysis-SFL/","SFL Corporation Ltd")</f>
        <v>0</v>
      </c>
      <c r="C1512">
        <v>-0.014278935334972</v>
      </c>
      <c r="D1512">
        <v>0.024548817397152</v>
      </c>
      <c r="E1512">
        <v>0.044559490748677</v>
      </c>
      <c r="F1512">
        <v>-0.008676789587852</v>
      </c>
      <c r="G1512">
        <v>0.183845815092091</v>
      </c>
      <c r="H1512">
        <v>0.588404991136908</v>
      </c>
      <c r="I1512">
        <v>-0.031235757363774</v>
      </c>
    </row>
    <row r="1513" spans="1:9">
      <c r="A1513" s="1" t="s">
        <v>1525</v>
      </c>
      <c r="B1513">
        <f>HYPERLINK("https://www.suredividend.com/sure-analysis-research-database/","Sprouts Farmers Market Inc")</f>
        <v>0</v>
      </c>
      <c r="C1513">
        <v>-0.07051851851851801</v>
      </c>
      <c r="D1513">
        <v>0.17446649195058</v>
      </c>
      <c r="E1513">
        <v>0.164871890085406</v>
      </c>
      <c r="F1513">
        <v>-0.030892801977139</v>
      </c>
      <c r="G1513">
        <v>0.03839788149619301</v>
      </c>
      <c r="H1513">
        <v>0.61534500514933</v>
      </c>
      <c r="I1513">
        <v>0.286182861828618</v>
      </c>
    </row>
    <row r="1514" spans="1:9">
      <c r="A1514" s="1" t="s">
        <v>1526</v>
      </c>
      <c r="B1514">
        <f>HYPERLINK("https://www.suredividend.com/sure-analysis-research-database/","Simmons First National Corp.")</f>
        <v>0</v>
      </c>
      <c r="C1514">
        <v>0.047357316021852</v>
      </c>
      <c r="D1514">
        <v>-0.006555199660268</v>
      </c>
      <c r="E1514">
        <v>0.062062303791354</v>
      </c>
      <c r="F1514">
        <v>0.01899907321594</v>
      </c>
      <c r="G1514">
        <v>-0.291744100283109</v>
      </c>
      <c r="H1514">
        <v>-0.08529737194579101</v>
      </c>
      <c r="I1514">
        <v>-0.11724326190457</v>
      </c>
    </row>
    <row r="1515" spans="1:9">
      <c r="A1515" s="1" t="s">
        <v>1527</v>
      </c>
      <c r="B1515">
        <f>HYPERLINK("https://www.suredividend.com/sure-analysis-research-database/","Southern First Bancshares Inc")</f>
        <v>0</v>
      </c>
      <c r="C1515">
        <v>-0.06295040271301401</v>
      </c>
      <c r="D1515">
        <v>0.051867713537949</v>
      </c>
      <c r="E1515">
        <v>-0.005623031938821001</v>
      </c>
      <c r="F1515">
        <v>-0.033661202185792</v>
      </c>
      <c r="G1515">
        <v>-0.3200553675792061</v>
      </c>
      <c r="H1515">
        <v>0.149207174421627</v>
      </c>
      <c r="I1515">
        <v>0.05011876484560501</v>
      </c>
    </row>
    <row r="1516" spans="1:9">
      <c r="A1516" s="1" t="s">
        <v>1528</v>
      </c>
      <c r="B1516">
        <f>HYPERLINK("https://www.suredividend.com/sure-analysis-research-database/","Shift Technologies Inc")</f>
        <v>0</v>
      </c>
      <c r="C1516">
        <v>-0.160945842868039</v>
      </c>
      <c r="D1516">
        <v>-0.6557120500782471</v>
      </c>
      <c r="E1516">
        <v>-0.7744052502050861</v>
      </c>
      <c r="F1516">
        <v>0.4775016789791801</v>
      </c>
      <c r="G1516">
        <v>-0.927631578947368</v>
      </c>
      <c r="H1516">
        <v>-0.9726027397260271</v>
      </c>
      <c r="I1516">
        <v>-0.977664974619289</v>
      </c>
    </row>
    <row r="1517" spans="1:9">
      <c r="A1517" s="1" t="s">
        <v>1529</v>
      </c>
      <c r="B1517">
        <f>HYPERLINK("https://www.suredividend.com/sure-analysis-research-database/","Sweetgreen Inc")</f>
        <v>0</v>
      </c>
      <c r="C1517">
        <v>-0.201704545454545</v>
      </c>
      <c r="D1517">
        <v>-0.54109961894393</v>
      </c>
      <c r="E1517">
        <v>-0.405919661733615</v>
      </c>
      <c r="F1517">
        <v>-0.016336056009334</v>
      </c>
      <c r="G1517">
        <v>-0.6883548983364141</v>
      </c>
      <c r="H1517">
        <v>-0.829696969696969</v>
      </c>
      <c r="I1517">
        <v>-0.829696969696969</v>
      </c>
    </row>
    <row r="1518" spans="1:9">
      <c r="A1518" s="1" t="s">
        <v>1530</v>
      </c>
      <c r="B1518">
        <f>HYPERLINK("https://www.suredividend.com/sure-analysis-research-database/","Superior Group of Companies Inc..")</f>
        <v>0</v>
      </c>
      <c r="C1518">
        <v>0.09720785935884101</v>
      </c>
      <c r="D1518">
        <v>0.235531127000023</v>
      </c>
      <c r="E1518">
        <v>-0.4022265792261051</v>
      </c>
      <c r="F1518">
        <v>0.05467196819085401</v>
      </c>
      <c r="G1518">
        <v>-0.498079361174712</v>
      </c>
      <c r="H1518">
        <v>-0.546701301364595</v>
      </c>
      <c r="I1518">
        <v>-0.5247820984834231</v>
      </c>
    </row>
    <row r="1519" spans="1:9">
      <c r="A1519" s="1" t="s">
        <v>1531</v>
      </c>
      <c r="B1519">
        <f>HYPERLINK("https://www.suredividend.com/sure-analysis-research-database/","SMART Global Holdings Inc")</f>
        <v>0</v>
      </c>
      <c r="C1519">
        <v>-0.026203534430225</v>
      </c>
      <c r="D1519">
        <v>0.1261451726568</v>
      </c>
      <c r="E1519">
        <v>-0.07736720554272501</v>
      </c>
      <c r="F1519">
        <v>0.07392473118279501</v>
      </c>
      <c r="G1519">
        <v>-0.5052631578947361</v>
      </c>
      <c r="H1519">
        <v>-0.159831756046267</v>
      </c>
      <c r="I1519">
        <v>-0.100478468899521</v>
      </c>
    </row>
    <row r="1520" spans="1:9">
      <c r="A1520" s="1" t="s">
        <v>1532</v>
      </c>
      <c r="B1520">
        <f>HYPERLINK("https://www.suredividend.com/sure-analysis-research-database/","Sight Sciences Inc")</f>
        <v>0</v>
      </c>
      <c r="C1520">
        <v>0.099834983498349</v>
      </c>
      <c r="D1520">
        <v>1.092621664050235</v>
      </c>
      <c r="E1520">
        <v>0.313300492610837</v>
      </c>
      <c r="F1520">
        <v>0.091728091728091</v>
      </c>
      <c r="G1520">
        <v>-0.161635220125786</v>
      </c>
      <c r="H1520">
        <v>-0.602089552238805</v>
      </c>
      <c r="I1520">
        <v>-0.602089552238805</v>
      </c>
    </row>
    <row r="1521" spans="1:9">
      <c r="A1521" s="1" t="s">
        <v>1533</v>
      </c>
      <c r="B1521">
        <f>HYPERLINK("https://www.suredividend.com/sure-analysis-research-database/","Sangamo Therapeutics Inc")</f>
        <v>0</v>
      </c>
      <c r="C1521">
        <v>-0.08695652173913</v>
      </c>
      <c r="D1521">
        <v>-0.349173553719008</v>
      </c>
      <c r="E1521">
        <v>-0.319654427645788</v>
      </c>
      <c r="F1521">
        <v>0.003184713375796</v>
      </c>
      <c r="G1521">
        <v>-0.534711964549483</v>
      </c>
      <c r="H1521">
        <v>-0.814487632508833</v>
      </c>
      <c r="I1521">
        <v>-0.813609467455621</v>
      </c>
    </row>
    <row r="1522" spans="1:9">
      <c r="A1522" s="1" t="s">
        <v>1534</v>
      </c>
      <c r="B1522">
        <f>HYPERLINK("https://www.suredividend.com/sure-analysis-research-database/","Surgery Partners Inc")</f>
        <v>0</v>
      </c>
      <c r="C1522">
        <v>0.119858989424206</v>
      </c>
      <c r="D1522">
        <v>0.169325153374233</v>
      </c>
      <c r="E1522">
        <v>-0.07833655705996101</v>
      </c>
      <c r="F1522">
        <v>0.026202440775305</v>
      </c>
      <c r="G1522">
        <v>-0.3687348200485751</v>
      </c>
      <c r="H1522">
        <v>-0.05705804749340301</v>
      </c>
      <c r="I1522">
        <v>1.042142857142857</v>
      </c>
    </row>
    <row r="1523" spans="1:9">
      <c r="A1523" s="1" t="s">
        <v>1535</v>
      </c>
      <c r="B1523">
        <f>HYPERLINK("https://www.suredividend.com/sure-analysis-research-database/","Sigilon Therapeutics Inc")</f>
        <v>0</v>
      </c>
      <c r="C1523">
        <v>0.043478260869565</v>
      </c>
      <c r="D1523">
        <v>-0.345454545454545</v>
      </c>
      <c r="E1523">
        <v>-0.5593635250917991</v>
      </c>
      <c r="F1523">
        <v>0.028571428571428</v>
      </c>
      <c r="G1523">
        <v>-0.854838709677419</v>
      </c>
      <c r="H1523">
        <v>-0.9897698209718671</v>
      </c>
      <c r="I1523">
        <v>-0.9896492236917761</v>
      </c>
    </row>
    <row r="1524" spans="1:9">
      <c r="A1524" s="1" t="s">
        <v>1536</v>
      </c>
      <c r="B1524">
        <f>HYPERLINK("https://www.suredividend.com/sure-analysis-research-database/","Shake Shack Inc")</f>
        <v>0</v>
      </c>
      <c r="C1524">
        <v>0.019075879610004</v>
      </c>
      <c r="D1524">
        <v>0.029770828871278</v>
      </c>
      <c r="E1524">
        <v>0.176413016882799</v>
      </c>
      <c r="F1524">
        <v>0.157717312785937</v>
      </c>
      <c r="G1524">
        <v>-0.308798159861989</v>
      </c>
      <c r="H1524">
        <v>-0.473326760871946</v>
      </c>
      <c r="I1524">
        <v>0.10732381391064</v>
      </c>
    </row>
    <row r="1525" spans="1:9">
      <c r="A1525" s="1" t="s">
        <v>1537</v>
      </c>
      <c r="B1525">
        <f>HYPERLINK("https://www.suredividend.com/sure-analysis-research-database/","Shenandoah Telecommunications Co.")</f>
        <v>0</v>
      </c>
      <c r="C1525">
        <v>-0.08324205914567301</v>
      </c>
      <c r="D1525">
        <v>0.06211534801091201</v>
      </c>
      <c r="E1525">
        <v>-0.208413327406678</v>
      </c>
      <c r="F1525">
        <v>0.05415617128463401</v>
      </c>
      <c r="G1525">
        <v>-0.351338784050838</v>
      </c>
      <c r="H1525">
        <v>-0.407133522455614</v>
      </c>
      <c r="I1525">
        <v>-0.169168920763332</v>
      </c>
    </row>
    <row r="1526" spans="1:9">
      <c r="A1526" s="1" t="s">
        <v>1538</v>
      </c>
      <c r="B1526">
        <f>HYPERLINK("https://www.suredividend.com/sure-analysis-research-database/","Sunstone Hotel Investors Inc")</f>
        <v>0</v>
      </c>
      <c r="C1526">
        <v>-0.08319317110162601</v>
      </c>
      <c r="D1526">
        <v>-0.013546733615774</v>
      </c>
      <c r="E1526">
        <v>-0.019791276869984</v>
      </c>
      <c r="F1526">
        <v>-0.023809523809523</v>
      </c>
      <c r="G1526">
        <v>-0.208666901633016</v>
      </c>
      <c r="H1526">
        <v>-0.150832958126969</v>
      </c>
      <c r="I1526">
        <v>-0.357839398561778</v>
      </c>
    </row>
    <row r="1527" spans="1:9">
      <c r="A1527" s="1" t="s">
        <v>1539</v>
      </c>
      <c r="B1527">
        <f>HYPERLINK("https://www.suredividend.com/sure-analysis-research-database/","Steven Madden Ltd.")</f>
        <v>0</v>
      </c>
      <c r="C1527">
        <v>-0.02728430854395</v>
      </c>
      <c r="D1527">
        <v>0.164291643355236</v>
      </c>
      <c r="E1527">
        <v>-0.03829018627086701</v>
      </c>
      <c r="F1527">
        <v>-0.003754693366708</v>
      </c>
      <c r="G1527">
        <v>-0.257254828776709</v>
      </c>
      <c r="H1527">
        <v>-0.09246638790791201</v>
      </c>
      <c r="I1527">
        <v>0.09246119429614401</v>
      </c>
    </row>
    <row r="1528" spans="1:9">
      <c r="A1528" s="1" t="s">
        <v>1540</v>
      </c>
      <c r="B1528">
        <f>HYPERLINK("https://www.suredividend.com/sure-analysis-research-database/","Shyft Group Inc (The)")</f>
        <v>0</v>
      </c>
      <c r="C1528">
        <v>0.170590665014456</v>
      </c>
      <c r="D1528">
        <v>0.393286267723348</v>
      </c>
      <c r="E1528">
        <v>0.458794461316724</v>
      </c>
      <c r="F1528">
        <v>0.139983909895414</v>
      </c>
      <c r="G1528">
        <v>-0.410198938191595</v>
      </c>
      <c r="H1528">
        <v>-0.035375247197857</v>
      </c>
      <c r="I1528">
        <v>0.9482617572853571</v>
      </c>
    </row>
    <row r="1529" spans="1:9">
      <c r="A1529" s="1" t="s">
        <v>1541</v>
      </c>
      <c r="B1529">
        <f>HYPERLINK("https://www.suredividend.com/sure-analysis-research-database/","Silvergate Capital Corp")</f>
        <v>0</v>
      </c>
      <c r="C1529">
        <v>-0.461035930937937</v>
      </c>
      <c r="D1529">
        <v>-0.835493519441674</v>
      </c>
      <c r="E1529">
        <v>-0.817449027975343</v>
      </c>
      <c r="F1529">
        <v>-0.336206896551724</v>
      </c>
      <c r="G1529">
        <v>-0.910109736166238</v>
      </c>
      <c r="H1529">
        <v>-0.8441926345609061</v>
      </c>
      <c r="I1529">
        <v>-0.077476038338658</v>
      </c>
    </row>
    <row r="1530" spans="1:9">
      <c r="A1530" s="1" t="s">
        <v>1542</v>
      </c>
      <c r="B1530">
        <f>HYPERLINK("https://www.suredividend.com/sure-analysis-research-database/","SI-BONE Inc")</f>
        <v>0</v>
      </c>
      <c r="C1530">
        <v>0.139937106918238</v>
      </c>
      <c r="D1530">
        <v>-0.07702100572883501</v>
      </c>
      <c r="E1530">
        <v>0.04166666666666601</v>
      </c>
      <c r="F1530">
        <v>0.066176470588235</v>
      </c>
      <c r="G1530">
        <v>-0.304889741131351</v>
      </c>
      <c r="H1530">
        <v>-0.48690728945506</v>
      </c>
      <c r="I1530">
        <v>-0.27716849451645</v>
      </c>
    </row>
    <row r="1531" spans="1:9">
      <c r="A1531" s="1" t="s">
        <v>1543</v>
      </c>
      <c r="B1531">
        <f>HYPERLINK("https://www.suredividend.com/sure-analysis-research-database/","Sientra Inc")</f>
        <v>0</v>
      </c>
      <c r="C1531">
        <v>-0.092692307692307</v>
      </c>
      <c r="D1531">
        <v>-0.665627214741318</v>
      </c>
      <c r="E1531">
        <v>-0.7349140352848631</v>
      </c>
      <c r="F1531">
        <v>0.162641695416461</v>
      </c>
      <c r="G1531">
        <v>-0.9239032258064511</v>
      </c>
      <c r="H1531">
        <v>-0.94462441314554</v>
      </c>
      <c r="I1531">
        <v>-0.982169312169312</v>
      </c>
    </row>
    <row r="1532" spans="1:9">
      <c r="A1532" s="1" t="s">
        <v>1544</v>
      </c>
      <c r="B1532">
        <f>HYPERLINK("https://www.suredividend.com/sure-analysis-research-database/","Signet Jewelers Ltd")</f>
        <v>0</v>
      </c>
      <c r="C1532">
        <v>0.05990918412186901</v>
      </c>
      <c r="D1532">
        <v>0.265391132818852</v>
      </c>
      <c r="E1532">
        <v>0.308082780163998</v>
      </c>
      <c r="F1532">
        <v>0.064117647058823</v>
      </c>
      <c r="G1532">
        <v>-0.194603980232402</v>
      </c>
      <c r="H1532">
        <v>0.9720651359269601</v>
      </c>
      <c r="I1532">
        <v>0.46150816493471</v>
      </c>
    </row>
    <row r="1533" spans="1:9">
      <c r="A1533" s="1" t="s">
        <v>1545</v>
      </c>
      <c r="B1533">
        <f>HYPERLINK("https://www.suredividend.com/sure-analysis-research-database/","SIGA Technologies Inc")</f>
        <v>0</v>
      </c>
      <c r="C1533">
        <v>-0.101485148514851</v>
      </c>
      <c r="D1533">
        <v>-0.209150326797385</v>
      </c>
      <c r="E1533">
        <v>-0.42789598108747</v>
      </c>
      <c r="F1533">
        <v>-0.013586956521739</v>
      </c>
      <c r="G1533">
        <v>0.099017544921963</v>
      </c>
      <c r="H1533">
        <v>0.009946442234123</v>
      </c>
      <c r="I1533">
        <v>2.768883351502881</v>
      </c>
    </row>
    <row r="1534" spans="1:9">
      <c r="A1534" s="1" t="s">
        <v>1546</v>
      </c>
      <c r="B1534">
        <f>HYPERLINK("https://www.suredividend.com/sure-analysis-research-database/","Selective Insurance Group Inc.")</f>
        <v>0</v>
      </c>
      <c r="C1534">
        <v>-0.0005548773721000001</v>
      </c>
      <c r="D1534">
        <v>0.07184809891565501</v>
      </c>
      <c r="E1534">
        <v>0.029783214968103</v>
      </c>
      <c r="F1534">
        <v>0.016363841552872</v>
      </c>
      <c r="G1534">
        <v>0.148617539438292</v>
      </c>
      <c r="H1534">
        <v>0.336711476037598</v>
      </c>
      <c r="I1534">
        <v>0.670407122322173</v>
      </c>
    </row>
    <row r="1535" spans="1:9">
      <c r="A1535" s="1" t="s">
        <v>1547</v>
      </c>
      <c r="B1535">
        <f>HYPERLINK("https://www.suredividend.com/sure-analysis-research-database/","Silk Road Medical Inc")</f>
        <v>0</v>
      </c>
      <c r="C1535">
        <v>-0.05808033188761001</v>
      </c>
      <c r="D1535">
        <v>0.182808430026048</v>
      </c>
      <c r="E1535">
        <v>0.183929841194596</v>
      </c>
      <c r="F1535">
        <v>-0.054872280037842</v>
      </c>
      <c r="G1535">
        <v>0.261045190608432</v>
      </c>
      <c r="H1535">
        <v>-0.174653007270323</v>
      </c>
      <c r="I1535">
        <v>0.380597014925373</v>
      </c>
    </row>
    <row r="1536" spans="1:9">
      <c r="A1536" s="1" t="s">
        <v>1548</v>
      </c>
      <c r="B1536">
        <f>HYPERLINK("https://www.suredividend.com/sure-analysis-research-database/","SITE Centers Corp")</f>
        <v>0</v>
      </c>
      <c r="C1536">
        <v>-0.0241145440844</v>
      </c>
      <c r="D1536">
        <v>0.223348479552603</v>
      </c>
      <c r="E1536">
        <v>-0.009643548152736001</v>
      </c>
      <c r="F1536">
        <v>-0.05197657393850601</v>
      </c>
      <c r="G1536">
        <v>-0.161909939295098</v>
      </c>
      <c r="H1536">
        <v>0.346685801044071</v>
      </c>
      <c r="I1536">
        <v>-0.02725927483869</v>
      </c>
    </row>
    <row r="1537" spans="1:9">
      <c r="A1537" s="1" t="s">
        <v>1549</v>
      </c>
      <c r="B1537">
        <f>HYPERLINK("https://www.suredividend.com/sure-analysis-research-database/","SiTime Corp")</f>
        <v>0</v>
      </c>
      <c r="C1537">
        <v>0.06170170956966001</v>
      </c>
      <c r="D1537">
        <v>0.298329929112098</v>
      </c>
      <c r="E1537">
        <v>-0.293124877346765</v>
      </c>
      <c r="F1537">
        <v>0.06337335170242001</v>
      </c>
      <c r="G1537">
        <v>-0.5550339715873991</v>
      </c>
      <c r="H1537">
        <v>-0.104351429755491</v>
      </c>
      <c r="I1537">
        <v>4.794101876675605</v>
      </c>
    </row>
    <row r="1538" spans="1:9">
      <c r="A1538" s="1" t="s">
        <v>1550</v>
      </c>
      <c r="B1538">
        <f>HYPERLINK("https://www.suredividend.com/sure-analysis-SJI/","South Jersey Industries Inc.")</f>
        <v>0</v>
      </c>
      <c r="C1538">
        <v>0.028019412404538</v>
      </c>
      <c r="D1538">
        <v>0.087742100052838</v>
      </c>
      <c r="E1538">
        <v>0.079764513668878</v>
      </c>
      <c r="F1538">
        <v>0.008162116521249001</v>
      </c>
      <c r="G1538">
        <v>0.425705688494053</v>
      </c>
      <c r="H1538">
        <v>0.7996020980285761</v>
      </c>
      <c r="I1538">
        <v>0.461468159415086</v>
      </c>
    </row>
    <row r="1539" spans="1:9">
      <c r="A1539" s="1" t="s">
        <v>1551</v>
      </c>
      <c r="B1539">
        <f>HYPERLINK("https://www.suredividend.com/sure-analysis-SJW/","SJW Group")</f>
        <v>0</v>
      </c>
      <c r="C1539">
        <v>-0.0006329915179130001</v>
      </c>
      <c r="D1539">
        <v>0.331195057006649</v>
      </c>
      <c r="E1539">
        <v>0.271396635807837</v>
      </c>
      <c r="F1539">
        <v>-0.027712772508929</v>
      </c>
      <c r="G1539">
        <v>0.144774699522019</v>
      </c>
      <c r="H1539">
        <v>0.182797148940442</v>
      </c>
      <c r="I1539">
        <v>0.4713557199093401</v>
      </c>
    </row>
    <row r="1540" spans="1:9">
      <c r="A1540" s="1" t="s">
        <v>1552</v>
      </c>
      <c r="B1540">
        <f>HYPERLINK("https://www.suredividend.com/sure-analysis-research-database/","Beauty Health Company (The)")</f>
        <v>0</v>
      </c>
      <c r="C1540">
        <v>-0.08530805687203701</v>
      </c>
      <c r="D1540">
        <v>-0.228617106314948</v>
      </c>
      <c r="E1540">
        <v>-0.298691860465116</v>
      </c>
      <c r="F1540">
        <v>0.06043956043956</v>
      </c>
      <c r="G1540">
        <v>-0.5645306859205771</v>
      </c>
      <c r="H1540">
        <v>-0.140694568121104</v>
      </c>
      <c r="I1540">
        <v>-0.109770385335658</v>
      </c>
    </row>
    <row r="1541" spans="1:9">
      <c r="A1541" s="1" t="s">
        <v>1553</v>
      </c>
      <c r="B1541">
        <f>HYPERLINK("https://www.suredividend.com/sure-analysis-SKT/","Tanger Factory Outlet Centers, Inc.")</f>
        <v>0</v>
      </c>
      <c r="C1541">
        <v>-0.04198062432723301</v>
      </c>
      <c r="D1541">
        <v>0.227137666921746</v>
      </c>
      <c r="E1541">
        <v>0.232815043113896</v>
      </c>
      <c r="F1541">
        <v>-0.007803790412486001</v>
      </c>
      <c r="G1541">
        <v>-0.051865109168677</v>
      </c>
      <c r="H1541">
        <v>0.683549451900613</v>
      </c>
      <c r="I1541">
        <v>-0.030057324701933</v>
      </c>
    </row>
    <row r="1542" spans="1:9">
      <c r="A1542" s="1" t="s">
        <v>1554</v>
      </c>
      <c r="B1542">
        <f>HYPERLINK("https://www.suredividend.com/sure-analysis-research-database/","Skyline Champion Corp")</f>
        <v>0</v>
      </c>
      <c r="C1542">
        <v>0.029511278195488</v>
      </c>
      <c r="D1542">
        <v>-0.020740210978008</v>
      </c>
      <c r="E1542">
        <v>-0.005266981474754</v>
      </c>
      <c r="F1542">
        <v>0.06328868180935701</v>
      </c>
      <c r="G1542">
        <v>-0.216564153912172</v>
      </c>
      <c r="H1542">
        <v>0.7426026089723191</v>
      </c>
      <c r="I1542">
        <v>1.476420426286138</v>
      </c>
    </row>
    <row r="1543" spans="1:9">
      <c r="A1543" s="1" t="s">
        <v>1555</v>
      </c>
      <c r="B1543">
        <f>HYPERLINK("https://www.suredividend.com/sure-analysis-research-database/","SkyWater Technology Inc")</f>
        <v>0</v>
      </c>
      <c r="C1543">
        <v>-0.11860718171926</v>
      </c>
      <c r="D1543">
        <v>0.094594594594594</v>
      </c>
      <c r="E1543">
        <v>0.131284916201117</v>
      </c>
      <c r="F1543">
        <v>0.139240506329113</v>
      </c>
      <c r="G1543">
        <v>-0.394618834080717</v>
      </c>
      <c r="H1543">
        <v>-0.543404735062006</v>
      </c>
      <c r="I1543">
        <v>-0.543404735062006</v>
      </c>
    </row>
    <row r="1544" spans="1:9">
      <c r="A1544" s="1" t="s">
        <v>1556</v>
      </c>
      <c r="B1544">
        <f>HYPERLINK("https://www.suredividend.com/sure-analysis-research-database/","Skywest Inc.")</f>
        <v>0</v>
      </c>
      <c r="C1544">
        <v>0.022564667033571</v>
      </c>
      <c r="D1544">
        <v>0.07398843930635801</v>
      </c>
      <c r="E1544">
        <v>-0.123584905660377</v>
      </c>
      <c r="F1544">
        <v>0.125378558449424</v>
      </c>
      <c r="G1544">
        <v>-0.5493572641280621</v>
      </c>
      <c r="H1544">
        <v>-0.54804183896862</v>
      </c>
      <c r="I1544">
        <v>-0.614679507917942</v>
      </c>
    </row>
    <row r="1545" spans="1:9">
      <c r="A1545" s="1" t="s">
        <v>1557</v>
      </c>
      <c r="B1545">
        <f>HYPERLINK("https://www.suredividend.com/sure-analysis-research-database/","Silicon Laboratories Inc")</f>
        <v>0</v>
      </c>
      <c r="C1545">
        <v>0.045550698067973</v>
      </c>
      <c r="D1545">
        <v>0.177479552132136</v>
      </c>
      <c r="E1545">
        <v>0.151242236024844</v>
      </c>
      <c r="F1545">
        <v>0.09294611925996901</v>
      </c>
      <c r="G1545">
        <v>-0.21349387365406</v>
      </c>
      <c r="H1545">
        <v>0.09593495934959301</v>
      </c>
      <c r="I1545">
        <v>0.5583815028901731</v>
      </c>
    </row>
    <row r="1546" spans="1:9">
      <c r="A1546" s="1" t="s">
        <v>1558</v>
      </c>
      <c r="B1546">
        <f>HYPERLINK("https://www.suredividend.com/sure-analysis-research-database/","U.S. Silica Holdings Inc")</f>
        <v>0</v>
      </c>
      <c r="C1546">
        <v>0.027312775330396</v>
      </c>
      <c r="D1546">
        <v>-0.040329218106995</v>
      </c>
      <c r="E1546">
        <v>0.11472275334608</v>
      </c>
      <c r="F1546">
        <v>-0.06720000000000001</v>
      </c>
      <c r="G1546">
        <v>0.1</v>
      </c>
      <c r="H1546">
        <v>0.446650124069478</v>
      </c>
      <c r="I1546">
        <v>-0.6665055444168281</v>
      </c>
    </row>
    <row r="1547" spans="1:9">
      <c r="A1547" s="1" t="s">
        <v>1559</v>
      </c>
      <c r="B1547">
        <f>HYPERLINK("https://www.suredividend.com/sure-analysis-research-database/","Solid Biosciences Inc")</f>
        <v>0</v>
      </c>
      <c r="C1547">
        <v>-0.04912836767036401</v>
      </c>
      <c r="D1547">
        <v>-0.166666666666666</v>
      </c>
      <c r="E1547">
        <v>-0.390801096558026</v>
      </c>
      <c r="F1547">
        <v>0.115241635687732</v>
      </c>
      <c r="G1547">
        <v>-0.7468354430379741</v>
      </c>
      <c r="H1547">
        <v>-0.9402985074626861</v>
      </c>
      <c r="I1547">
        <v>-0.9823165340406721</v>
      </c>
    </row>
    <row r="1548" spans="1:9">
      <c r="A1548" s="1" t="s">
        <v>1560</v>
      </c>
      <c r="B1548">
        <f>HYPERLINK("https://www.suredividend.com/sure-analysis-research-database/","Simulations Plus Inc.")</f>
        <v>0</v>
      </c>
      <c r="C1548">
        <v>-0.077979274611398</v>
      </c>
      <c r="D1548">
        <v>-0.273781661099468</v>
      </c>
      <c r="E1548">
        <v>-0.340648754198524</v>
      </c>
      <c r="F1548">
        <v>-0.02679792179382</v>
      </c>
      <c r="G1548">
        <v>-0.282477036845882</v>
      </c>
      <c r="H1548">
        <v>-0.563419484076894</v>
      </c>
      <c r="I1548">
        <v>1.331064927919726</v>
      </c>
    </row>
    <row r="1549" spans="1:9">
      <c r="A1549" s="1" t="s">
        <v>1561</v>
      </c>
      <c r="B1549">
        <f>HYPERLINK("https://www.suredividend.com/sure-analysis-research-database/","SelectQuote Inc")</f>
        <v>0</v>
      </c>
      <c r="C1549">
        <v>0.4325360598867991</v>
      </c>
      <c r="D1549">
        <v>0.135291564173057</v>
      </c>
      <c r="E1549">
        <v>-0.6661276595744681</v>
      </c>
      <c r="F1549">
        <v>0.167733293644887</v>
      </c>
      <c r="G1549">
        <v>-0.903255240443896</v>
      </c>
      <c r="H1549">
        <v>-0.9659904638058081</v>
      </c>
      <c r="I1549">
        <v>-0.9709407407407401</v>
      </c>
    </row>
    <row r="1550" spans="1:9">
      <c r="A1550" s="1" t="s">
        <v>1562</v>
      </c>
      <c r="B1550">
        <f>HYPERLINK("https://www.suredividend.com/sure-analysis-research-database/","SM Energy Co")</f>
        <v>0</v>
      </c>
      <c r="C1550">
        <v>-0.11508508797231</v>
      </c>
      <c r="D1550">
        <v>-0.316979124228317</v>
      </c>
      <c r="E1550">
        <v>-0.072498118090216</v>
      </c>
      <c r="F1550">
        <v>-0.119150157909847</v>
      </c>
      <c r="G1550">
        <v>-0.06009221389948301</v>
      </c>
      <c r="H1550">
        <v>2.660442641531945</v>
      </c>
      <c r="I1550">
        <v>0.209226063787857</v>
      </c>
    </row>
    <row r="1551" spans="1:9">
      <c r="A1551" s="1" t="s">
        <v>1563</v>
      </c>
      <c r="B1551">
        <f>HYPERLINK("https://www.suredividend.com/sure-analysis-research-database/","Southern Missouri Bancorp, Inc.")</f>
        <v>0</v>
      </c>
      <c r="C1551">
        <v>-0.059725585149314</v>
      </c>
      <c r="D1551">
        <v>-0.084024082697293</v>
      </c>
      <c r="E1551">
        <v>0.030740850516034</v>
      </c>
      <c r="F1551">
        <v>0.016801221907047</v>
      </c>
      <c r="G1551">
        <v>-0.180719841347979</v>
      </c>
      <c r="H1551">
        <v>0.481867789409415</v>
      </c>
      <c r="I1551">
        <v>0.330337694519065</v>
      </c>
    </row>
    <row r="1552" spans="1:9">
      <c r="A1552" s="1" t="s">
        <v>1564</v>
      </c>
      <c r="B1552">
        <f>HYPERLINK("https://www.suredividend.com/sure-analysis-research-database/","SmartFinancial Inc")</f>
        <v>0</v>
      </c>
      <c r="C1552">
        <v>-0.044279135671271</v>
      </c>
      <c r="D1552">
        <v>0.110119035373214</v>
      </c>
      <c r="E1552">
        <v>0.151775689763369</v>
      </c>
      <c r="F1552">
        <v>-0.01890909090909</v>
      </c>
      <c r="G1552">
        <v>-0.033151646114867</v>
      </c>
      <c r="H1552">
        <v>0.391668557987909</v>
      </c>
      <c r="I1552">
        <v>0.262488009171521</v>
      </c>
    </row>
    <row r="1553" spans="1:9">
      <c r="A1553" s="1" t="s">
        <v>1565</v>
      </c>
      <c r="B1553">
        <f>HYPERLINK("https://www.suredividend.com/sure-analysis-research-database/","Super Micro Computer Inc")</f>
        <v>0</v>
      </c>
      <c r="C1553">
        <v>0.008926446084265001</v>
      </c>
      <c r="D1553">
        <v>0.438486339725097</v>
      </c>
      <c r="E1553">
        <v>1.09515570934256</v>
      </c>
      <c r="F1553">
        <v>0.03252131546894</v>
      </c>
      <c r="G1553">
        <v>0.923094373865698</v>
      </c>
      <c r="H1553">
        <v>1.659033877038895</v>
      </c>
      <c r="I1553">
        <v>2.989176470588235</v>
      </c>
    </row>
    <row r="1554" spans="1:9">
      <c r="A1554" s="1" t="s">
        <v>1566</v>
      </c>
      <c r="B1554">
        <f>HYPERLINK("https://www.suredividend.com/sure-analysis-research-database/","Sharps Compliance Corp.")</f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</row>
    <row r="1555" spans="1:9">
      <c r="A1555" s="1" t="s">
        <v>1567</v>
      </c>
      <c r="B1555">
        <f>HYPERLINK("https://www.suredividend.com/sure-analysis-research-database/","Summit Financial Group Inc")</f>
        <v>0</v>
      </c>
      <c r="C1555">
        <v>-0.08474551098305301</v>
      </c>
      <c r="D1555">
        <v>-0.07070905087915001</v>
      </c>
      <c r="E1555">
        <v>-0.096821471100119</v>
      </c>
      <c r="F1555">
        <v>-0.00964242667738</v>
      </c>
      <c r="G1555">
        <v>-0.090681048538818</v>
      </c>
      <c r="H1555">
        <v>0.129392144195657</v>
      </c>
      <c r="I1555">
        <v>0.057263809838343</v>
      </c>
    </row>
    <row r="1556" spans="1:9">
      <c r="A1556" s="1" t="s">
        <v>1568</v>
      </c>
      <c r="B1556">
        <f>HYPERLINK("https://www.suredividend.com/sure-analysis-research-database/","Summit Therapeutics Inc")</f>
        <v>0</v>
      </c>
      <c r="C1556">
        <v>-0.038265306122448</v>
      </c>
      <c r="D1556">
        <v>2.696078431372548</v>
      </c>
      <c r="E1556">
        <v>2.696078431372548</v>
      </c>
      <c r="F1556">
        <v>-0.112941176470588</v>
      </c>
      <c r="G1556">
        <v>0.411985018726591</v>
      </c>
      <c r="H1556">
        <v>-0.273603082851637</v>
      </c>
      <c r="I1556">
        <v>0.09593023255813901</v>
      </c>
    </row>
    <row r="1557" spans="1:9">
      <c r="A1557" s="1" t="s">
        <v>1569</v>
      </c>
      <c r="B1557">
        <f>HYPERLINK("https://www.suredividend.com/sure-analysis-research-database/","Standard Motor Products, Inc.")</f>
        <v>0</v>
      </c>
      <c r="C1557">
        <v>-0.008264462809917</v>
      </c>
      <c r="D1557">
        <v>0.081890061938205</v>
      </c>
      <c r="E1557">
        <v>-0.18884572747019</v>
      </c>
      <c r="F1557">
        <v>0.034482758620689</v>
      </c>
      <c r="G1557">
        <v>-0.296828305004629</v>
      </c>
      <c r="H1557">
        <v>-0.102280208270991</v>
      </c>
      <c r="I1557">
        <v>-0.141020563013299</v>
      </c>
    </row>
    <row r="1558" spans="1:9">
      <c r="A1558" s="1" t="s">
        <v>1570</v>
      </c>
      <c r="B1558">
        <f>HYPERLINK("https://www.suredividend.com/sure-analysis-research-database/","Simply Good Foods Co")</f>
        <v>0</v>
      </c>
      <c r="C1558">
        <v>-0.05527638190954701</v>
      </c>
      <c r="D1558">
        <v>0.09469813055470401</v>
      </c>
      <c r="E1558">
        <v>-0.035376721577099</v>
      </c>
      <c r="F1558">
        <v>-0.06074151985274701</v>
      </c>
      <c r="G1558">
        <v>-0.09132536250317901</v>
      </c>
      <c r="H1558">
        <v>0.199865636546859</v>
      </c>
      <c r="I1558">
        <v>1.511954992967651</v>
      </c>
    </row>
    <row r="1559" spans="1:9">
      <c r="A1559" s="1" t="s">
        <v>1571</v>
      </c>
      <c r="B1559">
        <f>HYPERLINK("https://www.suredividend.com/sure-analysis-research-database/","Smith Micro Software, Inc.")</f>
        <v>0</v>
      </c>
      <c r="C1559">
        <v>0.144186046511628</v>
      </c>
      <c r="D1559">
        <v>0.055793991416309</v>
      </c>
      <c r="E1559">
        <v>-0.07865168539325801</v>
      </c>
      <c r="F1559">
        <v>0.171428571428571</v>
      </c>
      <c r="G1559">
        <v>-0.461706783369803</v>
      </c>
      <c r="H1559">
        <v>-0.538461538461538</v>
      </c>
      <c r="I1559">
        <v>0.012345679012345</v>
      </c>
    </row>
    <row r="1560" spans="1:9">
      <c r="A1560" s="1" t="s">
        <v>1572</v>
      </c>
      <c r="B1560">
        <f>HYPERLINK("https://www.suredividend.com/sure-analysis-research-database/","Semtech Corp.")</f>
        <v>0</v>
      </c>
      <c r="C1560">
        <v>0.040913740197749</v>
      </c>
      <c r="D1560">
        <v>0.121189864120455</v>
      </c>
      <c r="E1560">
        <v>-0.426666666666666</v>
      </c>
      <c r="F1560">
        <v>0.064133844545137</v>
      </c>
      <c r="G1560">
        <v>-0.6187086299487941</v>
      </c>
      <c r="H1560">
        <v>-0.589042939830394</v>
      </c>
      <c r="I1560">
        <v>-0.163561643835616</v>
      </c>
    </row>
    <row r="1561" spans="1:9">
      <c r="A1561" s="1" t="s">
        <v>1573</v>
      </c>
      <c r="B1561">
        <f>HYPERLINK("https://www.suredividend.com/sure-analysis-research-database/","Sleep Number Corp")</f>
        <v>0</v>
      </c>
      <c r="C1561">
        <v>0.024347826086956</v>
      </c>
      <c r="D1561">
        <v>-0.205985440819628</v>
      </c>
      <c r="E1561">
        <v>-0.09551597051597001</v>
      </c>
      <c r="F1561">
        <v>0.13356428021555</v>
      </c>
      <c r="G1561">
        <v>-0.6176317839522201</v>
      </c>
      <c r="H1561">
        <v>-0.66575871070253</v>
      </c>
      <c r="I1561">
        <v>-0.23107049608355</v>
      </c>
    </row>
    <row r="1562" spans="1:9">
      <c r="A1562" s="1" t="s">
        <v>1574</v>
      </c>
      <c r="B1562">
        <f>HYPERLINK("https://www.suredividend.com/sure-analysis-research-database/","Sun Country Airlines Holdings Inc")</f>
        <v>0</v>
      </c>
      <c r="C1562">
        <v>-0.046866485013624</v>
      </c>
      <c r="D1562">
        <v>0.217966573816156</v>
      </c>
      <c r="E1562">
        <v>-0.07995791688584901</v>
      </c>
      <c r="F1562">
        <v>0.102774274905422</v>
      </c>
      <c r="G1562">
        <v>-0.378022759601707</v>
      </c>
      <c r="H1562">
        <v>-0.519241341396371</v>
      </c>
      <c r="I1562">
        <v>-0.519241341396371</v>
      </c>
    </row>
    <row r="1563" spans="1:9">
      <c r="A1563" s="1" t="s">
        <v>1575</v>
      </c>
      <c r="B1563">
        <f>HYPERLINK("https://www.suredividend.com/sure-analysis-research-database/","Syndax Pharmaceuticals Inc")</f>
        <v>0</v>
      </c>
      <c r="C1563">
        <v>0.162790697674418</v>
      </c>
      <c r="D1563">
        <v>-0.009083402146985001</v>
      </c>
      <c r="E1563">
        <v>0.23520329387545</v>
      </c>
      <c r="F1563">
        <v>-0.05697445972495001</v>
      </c>
      <c r="G1563">
        <v>0.255886970172684</v>
      </c>
      <c r="H1563">
        <v>0.018675721561969</v>
      </c>
      <c r="I1563">
        <v>1.536997885835095</v>
      </c>
    </row>
    <row r="1564" spans="1:9">
      <c r="A1564" s="1" t="s">
        <v>1576</v>
      </c>
      <c r="B1564">
        <f>HYPERLINK("https://www.suredividend.com/sure-analysis-research-database/","StoneX Group Inc")</f>
        <v>0</v>
      </c>
      <c r="C1564">
        <v>0.017132455294999</v>
      </c>
      <c r="D1564">
        <v>0.117529411764705</v>
      </c>
      <c r="E1564">
        <v>0.271619812583668</v>
      </c>
      <c r="F1564">
        <v>-0.003252885624344</v>
      </c>
      <c r="G1564">
        <v>0.460036889025514</v>
      </c>
      <c r="H1564">
        <v>0.541795163122869</v>
      </c>
      <c r="I1564">
        <v>1.232957216737188</v>
      </c>
    </row>
    <row r="1565" spans="1:9">
      <c r="A1565" s="1" t="s">
        <v>1577</v>
      </c>
      <c r="B1565">
        <f>HYPERLINK("https://www.suredividend.com/sure-analysis-research-database/","Snap One Holdings Corp")</f>
        <v>0</v>
      </c>
      <c r="C1565">
        <v>0.024234693877551</v>
      </c>
      <c r="D1565">
        <v>-0.22415458937198</v>
      </c>
      <c r="E1565">
        <v>-0.224903474903474</v>
      </c>
      <c r="F1565">
        <v>0.08367071524966201</v>
      </c>
      <c r="G1565">
        <v>-0.5342227378190251</v>
      </c>
      <c r="H1565">
        <v>-0.514803625377643</v>
      </c>
      <c r="I1565">
        <v>-0.514803625377643</v>
      </c>
    </row>
    <row r="1566" spans="1:9">
      <c r="A1566" s="1" t="s">
        <v>1578</v>
      </c>
      <c r="B1566">
        <f>HYPERLINK("https://www.suredividend.com/sure-analysis-research-database/","Sensei Biotherapeutics Inc")</f>
        <v>0</v>
      </c>
      <c r="C1566">
        <v>-0.049689440993788</v>
      </c>
      <c r="D1566">
        <v>-0.012903225806451</v>
      </c>
      <c r="E1566">
        <v>-0.313901345291479</v>
      </c>
      <c r="F1566">
        <v>0.026845637583892</v>
      </c>
      <c r="G1566">
        <v>-0.729203539823008</v>
      </c>
      <c r="H1566">
        <v>-0.9190476190476191</v>
      </c>
      <c r="I1566">
        <v>-0.9190476190476191</v>
      </c>
    </row>
    <row r="1567" spans="1:9">
      <c r="A1567" s="1" t="s">
        <v>1579</v>
      </c>
      <c r="B1567">
        <f>HYPERLINK("https://www.suredividend.com/sure-analysis-research-database/","Solaris Oilfield Infrastructure Inc")</f>
        <v>0</v>
      </c>
      <c r="C1567">
        <v>0.076591154261057</v>
      </c>
      <c r="D1567">
        <v>-0.04495779823537201</v>
      </c>
      <c r="E1567">
        <v>0.01495998128731</v>
      </c>
      <c r="F1567">
        <v>0.005035246727089</v>
      </c>
      <c r="G1567">
        <v>0.349651768206099</v>
      </c>
      <c r="H1567">
        <v>0.199418318170346</v>
      </c>
      <c r="I1567">
        <v>-0.469944020140002</v>
      </c>
    </row>
    <row r="1568" spans="1:9">
      <c r="A1568" s="1" t="s">
        <v>1580</v>
      </c>
      <c r="B1568">
        <f>HYPERLINK("https://www.suredividend.com/sure-analysis-research-database/","Sonos Inc")</f>
        <v>0</v>
      </c>
      <c r="C1568">
        <v>-0.000562113546936</v>
      </c>
      <c r="D1568">
        <v>0.239888423988842</v>
      </c>
      <c r="E1568">
        <v>-0.103378719112455</v>
      </c>
      <c r="F1568">
        <v>0.05207100591715901</v>
      </c>
      <c r="G1568">
        <v>-0.380055788005578</v>
      </c>
      <c r="H1568">
        <v>-0.271609995903318</v>
      </c>
      <c r="I1568">
        <v>-0.106981416373681</v>
      </c>
    </row>
    <row r="1569" spans="1:9">
      <c r="A1569" s="1" t="s">
        <v>1581</v>
      </c>
      <c r="B1569">
        <f>HYPERLINK("https://www.suredividend.com/sure-analysis-research-database/","Sovos Brands Inc")</f>
        <v>0</v>
      </c>
      <c r="C1569">
        <v>0.07526881720430101</v>
      </c>
      <c r="D1569">
        <v>0.002147458840372</v>
      </c>
      <c r="E1569">
        <v>-0.043062200956937</v>
      </c>
      <c r="F1569">
        <v>-0.025748086290883</v>
      </c>
      <c r="G1569">
        <v>-0.05341446923597001</v>
      </c>
      <c r="H1569">
        <v>0.03550295857988101</v>
      </c>
      <c r="I1569">
        <v>0.03550295857988101</v>
      </c>
    </row>
    <row r="1570" spans="1:9">
      <c r="A1570" s="1" t="s">
        <v>1582</v>
      </c>
      <c r="B1570">
        <f>HYPERLINK("https://www.suredividend.com/sure-analysis-research-database/","SP Plus Corp")</f>
        <v>0</v>
      </c>
      <c r="C1570">
        <v>0.018626309662398</v>
      </c>
      <c r="D1570">
        <v>0.067724222086638</v>
      </c>
      <c r="E1570">
        <v>0.09924623115577801</v>
      </c>
      <c r="F1570">
        <v>0.008064516129032001</v>
      </c>
      <c r="G1570">
        <v>0.257183908045977</v>
      </c>
      <c r="H1570">
        <v>0.178848097002357</v>
      </c>
      <c r="I1570">
        <v>-0.065420560747663</v>
      </c>
    </row>
    <row r="1571" spans="1:9">
      <c r="A1571" s="1" t="s">
        <v>1583</v>
      </c>
      <c r="B1571">
        <f>HYPERLINK("https://www.suredividend.com/sure-analysis-research-database/","South Plains Financial Inc")</f>
        <v>0</v>
      </c>
      <c r="C1571">
        <v>-0.074443336656696</v>
      </c>
      <c r="D1571">
        <v>-0.006807912727480001</v>
      </c>
      <c r="E1571">
        <v>0.193752196761223</v>
      </c>
      <c r="F1571">
        <v>0.011623683254631</v>
      </c>
      <c r="G1571">
        <v>-0.017550048505159</v>
      </c>
      <c r="H1571">
        <v>0.478967855682475</v>
      </c>
      <c r="I1571">
        <v>0.64159573715606</v>
      </c>
    </row>
    <row r="1572" spans="1:9">
      <c r="A1572" s="1" t="s">
        <v>1584</v>
      </c>
      <c r="B1572">
        <f>HYPERLINK("https://www.suredividend.com/sure-analysis-research-database/","SeaSpine Holdings Corp")</f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</row>
    <row r="1573" spans="1:9">
      <c r="A1573" s="1" t="s">
        <v>1585</v>
      </c>
      <c r="B1573">
        <f>HYPERLINK("https://www.suredividend.com/sure-analysis-research-database/","Sapiens International Corp NV")</f>
        <v>0</v>
      </c>
      <c r="C1573">
        <v>0.085129310344827</v>
      </c>
      <c r="D1573">
        <v>0.07989276139410201</v>
      </c>
      <c r="E1573">
        <v>-0.201775593515913</v>
      </c>
      <c r="F1573">
        <v>0.08982683982683901</v>
      </c>
      <c r="G1573">
        <v>-0.372577851437401</v>
      </c>
      <c r="H1573">
        <v>-0.321718806305927</v>
      </c>
      <c r="I1573">
        <v>0.7343828042920371</v>
      </c>
    </row>
    <row r="1574" spans="1:9">
      <c r="A1574" s="1" t="s">
        <v>1586</v>
      </c>
      <c r="B1574">
        <f>HYPERLINK("https://www.suredividend.com/sure-analysis-research-database/","SiriusPoint Ltd")</f>
        <v>0</v>
      </c>
      <c r="C1574">
        <v>-0.014634146341463</v>
      </c>
      <c r="D1574">
        <v>0.259875259875259</v>
      </c>
      <c r="E1574">
        <v>0.172147001934235</v>
      </c>
      <c r="F1574">
        <v>0.027118644067796</v>
      </c>
      <c r="G1574">
        <v>-0.284533648170011</v>
      </c>
      <c r="H1574">
        <v>-0.3891129032258061</v>
      </c>
      <c r="I1574">
        <v>-0.5560439560439561</v>
      </c>
    </row>
    <row r="1575" spans="1:9">
      <c r="A1575" s="1" t="s">
        <v>1587</v>
      </c>
      <c r="B1575">
        <f>HYPERLINK("https://www.suredividend.com/sure-analysis-research-database/","Spectrum Pharmaceuticals, Inc.")</f>
        <v>0</v>
      </c>
      <c r="C1575">
        <v>0.123994320870799</v>
      </c>
      <c r="D1575">
        <v>0.130414088529271</v>
      </c>
      <c r="E1575">
        <v>-0.431750209355186</v>
      </c>
      <c r="F1575">
        <v>0.289009497964721</v>
      </c>
      <c r="G1575">
        <v>-0.5905172413793101</v>
      </c>
      <c r="H1575">
        <v>-0.8728246318607761</v>
      </c>
      <c r="I1575">
        <v>-0.9744486282947821</v>
      </c>
    </row>
    <row r="1576" spans="1:9">
      <c r="A1576" s="1" t="s">
        <v>1588</v>
      </c>
      <c r="B1576">
        <f>HYPERLINK("https://www.suredividend.com/sure-analysis-research-database/","Spruce Biosciences Inc")</f>
        <v>0</v>
      </c>
      <c r="C1576">
        <v>1.480392156862744</v>
      </c>
      <c r="D1576">
        <v>1.007936507936508</v>
      </c>
      <c r="E1576">
        <v>0.331578947368421</v>
      </c>
      <c r="F1576">
        <v>1.305449243666848</v>
      </c>
      <c r="G1576">
        <v>-0.344559585492228</v>
      </c>
      <c r="H1576">
        <v>-0.8825441039925721</v>
      </c>
      <c r="I1576">
        <v>-0.8511764705882351</v>
      </c>
    </row>
    <row r="1577" spans="1:9">
      <c r="A1577" s="1" t="s">
        <v>1589</v>
      </c>
      <c r="B1577">
        <f>HYPERLINK("https://www.suredividend.com/sure-analysis-research-database/","Spero Therapeutics Inc")</f>
        <v>0</v>
      </c>
      <c r="C1577">
        <v>0.057142857142857</v>
      </c>
      <c r="D1577">
        <v>-0.010695187165775</v>
      </c>
      <c r="E1577">
        <v>1.243512005821004</v>
      </c>
      <c r="F1577">
        <v>0.06936416184971</v>
      </c>
      <c r="G1577">
        <v>-0.8587786259541981</v>
      </c>
      <c r="H1577">
        <v>-0.8893540669856451</v>
      </c>
      <c r="I1577">
        <v>-0.8378615249780891</v>
      </c>
    </row>
    <row r="1578" spans="1:9">
      <c r="A1578" s="1" t="s">
        <v>1590</v>
      </c>
      <c r="B1578">
        <f>HYPERLINK("https://www.suredividend.com/sure-analysis-research-database/","SPS Commerce Inc.")</f>
        <v>0</v>
      </c>
      <c r="C1578">
        <v>-0.034901365705614</v>
      </c>
      <c r="D1578">
        <v>0.005295186912194</v>
      </c>
      <c r="E1578">
        <v>0.09175178096300701</v>
      </c>
      <c r="F1578">
        <v>-0.009577201588413001</v>
      </c>
      <c r="G1578">
        <v>0.06301186695637601</v>
      </c>
      <c r="H1578">
        <v>0.111402359108781</v>
      </c>
      <c r="I1578">
        <v>4.149797570850203</v>
      </c>
    </row>
    <row r="1579" spans="1:9">
      <c r="A1579" s="1" t="s">
        <v>1591</v>
      </c>
      <c r="B1579">
        <f>HYPERLINK("https://www.suredividend.com/sure-analysis-research-database/","Sprout Social Inc")</f>
        <v>0</v>
      </c>
      <c r="C1579">
        <v>-0.107148893020111</v>
      </c>
      <c r="D1579">
        <v>-0.147628267182962</v>
      </c>
      <c r="E1579">
        <v>-0.187605720436721</v>
      </c>
      <c r="F1579">
        <v>-0.06429330499468601</v>
      </c>
      <c r="G1579">
        <v>-0.295412109895972</v>
      </c>
      <c r="H1579">
        <v>0.03345070422535201</v>
      </c>
      <c r="I1579">
        <v>2.182530120481927</v>
      </c>
    </row>
    <row r="1580" spans="1:9">
      <c r="A1580" s="1" t="s">
        <v>1592</v>
      </c>
      <c r="B1580">
        <f>HYPERLINK("https://www.suredividend.com/sure-analysis-SPTN/","SpartanNash Co")</f>
        <v>0</v>
      </c>
      <c r="C1580">
        <v>-0.042946708463949</v>
      </c>
      <c r="D1580">
        <v>0.015584717994777</v>
      </c>
      <c r="E1580">
        <v>0.014983726350014</v>
      </c>
      <c r="F1580">
        <v>0.009589947089947001</v>
      </c>
      <c r="G1580">
        <v>0.225631884895783</v>
      </c>
      <c r="H1580">
        <v>0.8921833552321691</v>
      </c>
      <c r="I1580">
        <v>0.4940638733104301</v>
      </c>
    </row>
    <row r="1581" spans="1:9">
      <c r="A1581" s="1" t="s">
        <v>1593</v>
      </c>
      <c r="B1581">
        <f>HYPERLINK("https://www.suredividend.com/sure-analysis-research-database/","Sportsman`s Warehouse Holdings Inc")</f>
        <v>0</v>
      </c>
      <c r="C1581">
        <v>0.007042253521126001</v>
      </c>
      <c r="D1581">
        <v>0.151898734177215</v>
      </c>
      <c r="E1581">
        <v>-0.001994017946161</v>
      </c>
      <c r="F1581">
        <v>0.063761955366631</v>
      </c>
      <c r="G1581">
        <v>-0.167221297836938</v>
      </c>
      <c r="H1581">
        <v>-0.429304446978335</v>
      </c>
      <c r="I1581">
        <v>0.8780487804878041</v>
      </c>
    </row>
    <row r="1582" spans="1:9">
      <c r="A1582" s="1" t="s">
        <v>1594</v>
      </c>
      <c r="B1582">
        <f>HYPERLINK("https://www.suredividend.com/sure-analysis-research-database/","Sunpower Corp")</f>
        <v>0</v>
      </c>
      <c r="C1582">
        <v>-0.235454545454545</v>
      </c>
      <c r="D1582">
        <v>-0.233712984054669</v>
      </c>
      <c r="E1582">
        <v>-0.06451612903225801</v>
      </c>
      <c r="F1582">
        <v>-0.06711037160288401</v>
      </c>
      <c r="G1582">
        <v>-0.132094943240454</v>
      </c>
      <c r="H1582">
        <v>-0.425938566552901</v>
      </c>
      <c r="I1582">
        <v>1.392467000455166</v>
      </c>
    </row>
    <row r="1583" spans="1:9">
      <c r="A1583" s="1" t="s">
        <v>1595</v>
      </c>
      <c r="B1583">
        <f>HYPERLINK("https://www.suredividend.com/sure-analysis-research-database/","SPX Technologies Inc")</f>
        <v>0</v>
      </c>
      <c r="C1583">
        <v>0.02471740768651</v>
      </c>
      <c r="D1583">
        <v>0.166809679080144</v>
      </c>
      <c r="E1583">
        <v>0.0630081300813</v>
      </c>
      <c r="F1583">
        <v>0.035643564356435</v>
      </c>
      <c r="G1583">
        <v>0.0630081300813</v>
      </c>
      <c r="H1583">
        <v>0.0630081300813</v>
      </c>
      <c r="I1583">
        <v>0.0630081300813</v>
      </c>
    </row>
    <row r="1584" spans="1:9">
      <c r="A1584" s="1" t="s">
        <v>1596</v>
      </c>
      <c r="B1584">
        <f>HYPERLINK("https://www.suredividend.com/sure-analysis-research-database/","SQZ Biotechnologies Co")</f>
        <v>0</v>
      </c>
      <c r="C1584">
        <v>-0.364913793103448</v>
      </c>
      <c r="D1584">
        <v>-0.7544333333333331</v>
      </c>
      <c r="E1584">
        <v>-0.788304597701149</v>
      </c>
      <c r="F1584">
        <v>-0.004459459459459</v>
      </c>
      <c r="G1584">
        <v>-0.9234199584199581</v>
      </c>
      <c r="H1584">
        <v>-0.973689285714285</v>
      </c>
      <c r="I1584">
        <v>-0.9444</v>
      </c>
    </row>
    <row r="1585" spans="1:9">
      <c r="A1585" s="1" t="s">
        <v>1597</v>
      </c>
      <c r="B1585">
        <f>HYPERLINK("https://www.suredividend.com/sure-analysis-SR/","Spire Inc.")</f>
        <v>0</v>
      </c>
      <c r="C1585">
        <v>0.05878877400295401</v>
      </c>
      <c r="D1585">
        <v>0.168353400824432</v>
      </c>
      <c r="E1585">
        <v>0.024767111380519</v>
      </c>
      <c r="F1585">
        <v>0.040952657566076</v>
      </c>
      <c r="G1585">
        <v>0.121270188885847</v>
      </c>
      <c r="H1585">
        <v>0.247300676375241</v>
      </c>
      <c r="I1585">
        <v>0.20462085029292</v>
      </c>
    </row>
    <row r="1586" spans="1:9">
      <c r="A1586" s="1" t="s">
        <v>1598</v>
      </c>
      <c r="B1586">
        <f>HYPERLINK("https://www.suredividend.com/sure-analysis-SRCE/","1st Source Corp.")</f>
        <v>0</v>
      </c>
      <c r="C1586">
        <v>-0.040310650887573</v>
      </c>
      <c r="D1586">
        <v>0.09608135077771</v>
      </c>
      <c r="E1586">
        <v>0.168182227424146</v>
      </c>
      <c r="F1586">
        <v>-0.022414767376153</v>
      </c>
      <c r="G1586">
        <v>0.019614314677731</v>
      </c>
      <c r="H1586">
        <v>0.293122779391759</v>
      </c>
      <c r="I1586">
        <v>0.165731535845683</v>
      </c>
    </row>
    <row r="1587" spans="1:9">
      <c r="A1587" s="1" t="s">
        <v>1599</v>
      </c>
      <c r="B1587">
        <f>HYPERLINK("https://www.suredividend.com/sure-analysis-research-database/","Surmodics, Inc.")</f>
        <v>0</v>
      </c>
      <c r="C1587">
        <v>0.0575</v>
      </c>
      <c r="D1587">
        <v>0.265625</v>
      </c>
      <c r="E1587">
        <v>0.035354908893119</v>
      </c>
      <c r="F1587">
        <v>0.115767878077374</v>
      </c>
      <c r="G1587">
        <v>-0.187059577194106</v>
      </c>
      <c r="H1587">
        <v>-0.12220428867881</v>
      </c>
      <c r="I1587">
        <v>0.394505494505494</v>
      </c>
    </row>
    <row r="1588" spans="1:9">
      <c r="A1588" s="1" t="s">
        <v>1600</v>
      </c>
      <c r="B1588">
        <f>HYPERLINK("https://www.suredividend.com/sure-analysis-research-database/","Seritage Growth Properties")</f>
        <v>0</v>
      </c>
      <c r="C1588">
        <v>-0.004187604690117</v>
      </c>
      <c r="D1588">
        <v>0.251578947368421</v>
      </c>
      <c r="E1588">
        <v>0.08485401459854</v>
      </c>
      <c r="F1588">
        <v>0.005071851225697001</v>
      </c>
      <c r="G1588">
        <v>-0.085384615384615</v>
      </c>
      <c r="H1588">
        <v>-0.183939601921756</v>
      </c>
      <c r="I1588">
        <v>-0.691561389400503</v>
      </c>
    </row>
    <row r="1589" spans="1:9">
      <c r="A1589" s="1" t="s">
        <v>1601</v>
      </c>
      <c r="B1589">
        <f>HYPERLINK("https://www.suredividend.com/sure-analysis-research-database/","Stoneridge Inc.")</f>
        <v>0</v>
      </c>
      <c r="C1589">
        <v>-0.026595744680851</v>
      </c>
      <c r="D1589">
        <v>0.33252427184466</v>
      </c>
      <c r="E1589">
        <v>0.293286219081272</v>
      </c>
      <c r="F1589">
        <v>0.018552875695732</v>
      </c>
      <c r="G1589">
        <v>0.033898305084745</v>
      </c>
      <c r="H1589">
        <v>-0.292981326464906</v>
      </c>
      <c r="I1589">
        <v>-0.067119796091758</v>
      </c>
    </row>
    <row r="1590" spans="1:9">
      <c r="A1590" s="1" t="s">
        <v>1602</v>
      </c>
      <c r="B1590">
        <f>HYPERLINK("https://www.suredividend.com/sure-analysis-research-database/","Sorrento Therapeutics Inc")</f>
        <v>0</v>
      </c>
      <c r="C1590">
        <v>-0.019047619047619</v>
      </c>
      <c r="D1590">
        <v>-0.294520547945205</v>
      </c>
      <c r="E1590">
        <v>-0.625454545454545</v>
      </c>
      <c r="F1590">
        <v>0.162528216704288</v>
      </c>
      <c r="G1590">
        <v>-0.7726269315673281</v>
      </c>
      <c r="H1590">
        <v>-0.861559139784946</v>
      </c>
      <c r="I1590">
        <v>-0.7897959183673471</v>
      </c>
    </row>
    <row r="1591" spans="1:9">
      <c r="A1591" s="1" t="s">
        <v>1603</v>
      </c>
      <c r="B1591">
        <f>HYPERLINK("https://www.suredividend.com/sure-analysis-research-database/","Scholar Rock Holding Corp")</f>
        <v>0</v>
      </c>
      <c r="C1591">
        <v>0.224516129032258</v>
      </c>
      <c r="D1591">
        <v>0.22609819121447</v>
      </c>
      <c r="E1591">
        <v>0.132458233890214</v>
      </c>
      <c r="F1591">
        <v>0.048618784530386</v>
      </c>
      <c r="G1591">
        <v>-0.556749182624941</v>
      </c>
      <c r="H1591">
        <v>-0.793516100957354</v>
      </c>
      <c r="I1591">
        <v>-0.38774193548387</v>
      </c>
    </row>
    <row r="1592" spans="1:9">
      <c r="A1592" s="1" t="s">
        <v>1604</v>
      </c>
      <c r="B1592">
        <f>HYPERLINK("https://www.suredividend.com/sure-analysis-research-database/","Startek, Inc.")</f>
        <v>0</v>
      </c>
      <c r="C1592">
        <v>0.041237113402061</v>
      </c>
      <c r="D1592">
        <v>0.154285714285714</v>
      </c>
      <c r="E1592">
        <v>0.5361216730038021</v>
      </c>
      <c r="F1592">
        <v>0.077333333333333</v>
      </c>
      <c r="G1592">
        <v>-0.196819085487077</v>
      </c>
      <c r="H1592">
        <v>-0.4873096446700501</v>
      </c>
      <c r="I1592">
        <v>-0.5992063492063491</v>
      </c>
    </row>
    <row r="1593" spans="1:9">
      <c r="A1593" s="1" t="s">
        <v>1605</v>
      </c>
      <c r="B1593">
        <f>HYPERLINK("https://www.suredividend.com/sure-analysis-research-database/","SouthState Corporation")</f>
        <v>0</v>
      </c>
      <c r="C1593">
        <v>-0.0006276675872450001</v>
      </c>
      <c r="D1593">
        <v>-0.022792106723229</v>
      </c>
      <c r="E1593">
        <v>0.059216889992322</v>
      </c>
      <c r="F1593">
        <v>0.042561550550026</v>
      </c>
      <c r="G1593">
        <v>-0.08919191953861201</v>
      </c>
      <c r="H1593">
        <v>0.06425643754160901</v>
      </c>
      <c r="I1593">
        <v>0.017040961417341</v>
      </c>
    </row>
    <row r="1594" spans="1:9">
      <c r="A1594" s="1" t="s">
        <v>1606</v>
      </c>
      <c r="B1594">
        <f>HYPERLINK("https://www.suredividend.com/sure-analysis-research-database/","Simpson Manufacturing Co., Inc.")</f>
        <v>0</v>
      </c>
      <c r="C1594">
        <v>0.055439421653166</v>
      </c>
      <c r="D1594">
        <v>0.246685237055384</v>
      </c>
      <c r="E1594">
        <v>-0.06122472695720201</v>
      </c>
      <c r="F1594">
        <v>0.096509583995982</v>
      </c>
      <c r="G1594">
        <v>-0.254570886125591</v>
      </c>
      <c r="H1594">
        <v>-0.010292185351221</v>
      </c>
      <c r="I1594">
        <v>0.776066161853968</v>
      </c>
    </row>
    <row r="1595" spans="1:9">
      <c r="A1595" s="1" t="s">
        <v>1607</v>
      </c>
      <c r="B1595">
        <f>HYPERLINK("https://www.suredividend.com/sure-analysis-research-database/","E.W. Scripps Co.")</f>
        <v>0</v>
      </c>
      <c r="C1595">
        <v>-0.05661712668082</v>
      </c>
      <c r="D1595">
        <v>0.107142857142857</v>
      </c>
      <c r="E1595">
        <v>0.03978159126365</v>
      </c>
      <c r="F1595">
        <v>0.010614101592115</v>
      </c>
      <c r="G1595">
        <v>-0.337145698657384</v>
      </c>
      <c r="H1595">
        <v>-0.147152911068458</v>
      </c>
      <c r="I1595">
        <v>-0.08371655015500501</v>
      </c>
    </row>
    <row r="1596" spans="1:9">
      <c r="A1596" s="1" t="s">
        <v>1608</v>
      </c>
      <c r="B1596">
        <f>HYPERLINK("https://www.suredividend.com/sure-analysis-research-database/","ShotSpotter Inc")</f>
        <v>0</v>
      </c>
      <c r="C1596">
        <v>-0.05311513063451</v>
      </c>
      <c r="D1596">
        <v>0.280279503105589</v>
      </c>
      <c r="E1596">
        <v>0.104117843990625</v>
      </c>
      <c r="F1596">
        <v>-0.025125628140703</v>
      </c>
      <c r="G1596">
        <v>0.17491984324902</v>
      </c>
      <c r="H1596">
        <v>-0.251305334846765</v>
      </c>
      <c r="I1596">
        <v>1.09796437659033</v>
      </c>
    </row>
    <row r="1597" spans="1:9">
      <c r="A1597" s="1" t="s">
        <v>1609</v>
      </c>
      <c r="B1597">
        <f>HYPERLINK("https://www.suredividend.com/sure-analysis-research-database/","Shutterstock Inc")</f>
        <v>0</v>
      </c>
      <c r="C1597">
        <v>0.12116991643454</v>
      </c>
      <c r="D1597">
        <v>0.118026717564824</v>
      </c>
      <c r="E1597">
        <v>-0.06245684556243401</v>
      </c>
      <c r="F1597">
        <v>0.068854324734446</v>
      </c>
      <c r="G1597">
        <v>-0.420603682636823</v>
      </c>
      <c r="H1597">
        <v>-0.175355797021914</v>
      </c>
      <c r="I1597">
        <v>0.424753544185058</v>
      </c>
    </row>
    <row r="1598" spans="1:9">
      <c r="A1598" s="1" t="s">
        <v>1610</v>
      </c>
      <c r="B1598">
        <f>HYPERLINK("https://www.suredividend.com/sure-analysis-research-database/","Staar Surgical Co.")</f>
        <v>0</v>
      </c>
      <c r="C1598">
        <v>0.09121227280306801</v>
      </c>
      <c r="D1598">
        <v>-0.065276389087273</v>
      </c>
      <c r="E1598">
        <v>-0.181283623170274</v>
      </c>
      <c r="F1598">
        <v>0.348166460651009</v>
      </c>
      <c r="G1598">
        <v>-0.208419015362283</v>
      </c>
      <c r="H1598">
        <v>-0.224368851487495</v>
      </c>
      <c r="I1598">
        <v>2.966060606060606</v>
      </c>
    </row>
    <row r="1599" spans="1:9">
      <c r="A1599" s="1" t="s">
        <v>1611</v>
      </c>
      <c r="B1599">
        <f>HYPERLINK("https://www.suredividend.com/sure-analysis-STAG/","STAG Industrial Inc")</f>
        <v>0</v>
      </c>
      <c r="C1599">
        <v>0.011358473421172</v>
      </c>
      <c r="D1599">
        <v>0.234239329319005</v>
      </c>
      <c r="E1599">
        <v>0.118615449556775</v>
      </c>
      <c r="F1599">
        <v>0.03342618384401101</v>
      </c>
      <c r="G1599">
        <v>-0.221431502760781</v>
      </c>
      <c r="H1599">
        <v>0.192350956130483</v>
      </c>
      <c r="I1599">
        <v>0.602214981837724</v>
      </c>
    </row>
    <row r="1600" spans="1:9">
      <c r="A1600" s="1" t="s">
        <v>1612</v>
      </c>
      <c r="B1600">
        <f>HYPERLINK("https://www.suredividend.com/sure-analysis-research-database/","iStar Inc")</f>
        <v>0</v>
      </c>
      <c r="C1600">
        <v>0.104054054054054</v>
      </c>
      <c r="D1600">
        <v>0.213174150629603</v>
      </c>
      <c r="E1600">
        <v>-0.242705127729783</v>
      </c>
      <c r="F1600">
        <v>0.070773263433813</v>
      </c>
      <c r="G1600">
        <v>-0.5696783912187</v>
      </c>
      <c r="H1600">
        <v>-0.262921429409164</v>
      </c>
      <c r="I1600">
        <v>0.060818531214293</v>
      </c>
    </row>
    <row r="1601" spans="1:9">
      <c r="A1601" s="1" t="s">
        <v>1613</v>
      </c>
      <c r="B1601">
        <f>HYPERLINK("https://www.suredividend.com/sure-analysis-research-database/","S &amp; T Bancorp, Inc.")</f>
        <v>0</v>
      </c>
      <c r="C1601">
        <v>-0.05337876206700701</v>
      </c>
      <c r="D1601">
        <v>0.129185760202129</v>
      </c>
      <c r="E1601">
        <v>0.217743850101357</v>
      </c>
      <c r="F1601">
        <v>-0.024575775307197</v>
      </c>
      <c r="G1601">
        <v>0.022849990182603</v>
      </c>
      <c r="H1601">
        <v>0.312458911847953</v>
      </c>
      <c r="I1601">
        <v>-0.02188007909452</v>
      </c>
    </row>
    <row r="1602" spans="1:9">
      <c r="A1602" s="1" t="s">
        <v>1614</v>
      </c>
      <c r="B1602">
        <f>HYPERLINK("https://www.suredividend.com/sure-analysis-research-database/","Stewart Information Services Corp.")</f>
        <v>0</v>
      </c>
      <c r="C1602">
        <v>0.058881741712023</v>
      </c>
      <c r="D1602">
        <v>0.035696260293009</v>
      </c>
      <c r="E1602">
        <v>-0.080328986008476</v>
      </c>
      <c r="F1602">
        <v>0.05172010297215</v>
      </c>
      <c r="G1602">
        <v>-0.403120666847297</v>
      </c>
      <c r="H1602">
        <v>-0.074150377426904</v>
      </c>
      <c r="I1602">
        <v>0.153718779122157</v>
      </c>
    </row>
    <row r="1603" spans="1:9">
      <c r="A1603" s="1" t="s">
        <v>1615</v>
      </c>
      <c r="B1603">
        <f>HYPERLINK("https://www.suredividend.com/sure-analysis-research-database/","Stem Inc")</f>
        <v>0</v>
      </c>
      <c r="C1603">
        <v>-0.228436018957346</v>
      </c>
      <c r="D1603">
        <v>-0.380517503805175</v>
      </c>
      <c r="E1603">
        <v>-0.07814269535673801</v>
      </c>
      <c r="F1603">
        <v>-0.08948545861297501</v>
      </c>
      <c r="G1603">
        <v>-0.485786481364497</v>
      </c>
      <c r="H1603">
        <v>-0.680659081992938</v>
      </c>
      <c r="I1603">
        <v>-0.160824742268041</v>
      </c>
    </row>
    <row r="1604" spans="1:9">
      <c r="A1604" s="1" t="s">
        <v>1616</v>
      </c>
      <c r="B1604">
        <f>HYPERLINK("https://www.suredividend.com/sure-analysis-research-database/","StepStone Group Inc")</f>
        <v>0</v>
      </c>
      <c r="C1604">
        <v>-0.08880442294402201</v>
      </c>
      <c r="D1604">
        <v>0.031456085864709</v>
      </c>
      <c r="E1604">
        <v>-0.028181627215336</v>
      </c>
      <c r="F1604">
        <v>0.0472597299444</v>
      </c>
      <c r="G1604">
        <v>-0.291926566582263</v>
      </c>
      <c r="H1604">
        <v>-0.253397508493771</v>
      </c>
      <c r="I1604">
        <v>0.09302528009550001</v>
      </c>
    </row>
    <row r="1605" spans="1:9">
      <c r="A1605" s="1" t="s">
        <v>1617</v>
      </c>
      <c r="B1605">
        <f>HYPERLINK("https://www.suredividend.com/sure-analysis-research-database/","Sterling Check Corp")</f>
        <v>0</v>
      </c>
      <c r="C1605">
        <v>0.04826648538409201</v>
      </c>
      <c r="D1605">
        <v>-0.188847974750131</v>
      </c>
      <c r="E1605">
        <v>-0.113793103448275</v>
      </c>
      <c r="F1605">
        <v>-0.003232062055591</v>
      </c>
      <c r="G1605">
        <v>-0.260076775431861</v>
      </c>
      <c r="H1605">
        <v>-0.426765799256505</v>
      </c>
      <c r="I1605">
        <v>-0.426765799256505</v>
      </c>
    </row>
    <row r="1606" spans="1:9">
      <c r="A1606" s="1" t="s">
        <v>1618</v>
      </c>
      <c r="B1606">
        <f>HYPERLINK("https://www.suredividend.com/sure-analysis-research-database/","Stagwell Inc")</f>
        <v>0</v>
      </c>
      <c r="C1606">
        <v>-0.036231884057971</v>
      </c>
      <c r="D1606">
        <v>-0.07122905027932901</v>
      </c>
      <c r="E1606">
        <v>0.254716981132075</v>
      </c>
      <c r="F1606">
        <v>0.07085346215781001</v>
      </c>
      <c r="G1606">
        <v>-0.141935483870967</v>
      </c>
      <c r="H1606">
        <v>0.198198198198198</v>
      </c>
      <c r="I1606">
        <v>0.198198198198198</v>
      </c>
    </row>
    <row r="1607" spans="1:9">
      <c r="A1607" s="1" t="s">
        <v>1619</v>
      </c>
      <c r="B1607">
        <f>HYPERLINK("https://www.suredividend.com/sure-analysis-research-database/","Neuronetics Inc")</f>
        <v>0</v>
      </c>
      <c r="C1607">
        <v>0.021840873634945</v>
      </c>
      <c r="D1607">
        <v>1.282229965156794</v>
      </c>
      <c r="E1607">
        <v>0.8144044321329641</v>
      </c>
      <c r="F1607">
        <v>-0.046579330422125</v>
      </c>
      <c r="G1607">
        <v>0.742021276595744</v>
      </c>
      <c r="H1607">
        <v>-0.4918541505042661</v>
      </c>
      <c r="I1607">
        <v>-0.764218862491</v>
      </c>
    </row>
    <row r="1608" spans="1:9">
      <c r="A1608" s="1" t="s">
        <v>1620</v>
      </c>
      <c r="B1608">
        <f>HYPERLINK("https://www.suredividend.com/sure-analysis-research-database/","ONE Group Hospitality Inc")</f>
        <v>0</v>
      </c>
      <c r="C1608">
        <v>0.022421524663676</v>
      </c>
      <c r="D1608">
        <v>0.033232628398791</v>
      </c>
      <c r="E1608">
        <v>-0.104712041884816</v>
      </c>
      <c r="F1608">
        <v>0.08571428571428501</v>
      </c>
      <c r="G1608">
        <v>-0.457142857142857</v>
      </c>
      <c r="H1608">
        <v>0.921348314606741</v>
      </c>
      <c r="I1608">
        <v>1.898305084745763</v>
      </c>
    </row>
    <row r="1609" spans="1:9">
      <c r="A1609" s="1" t="s">
        <v>1621</v>
      </c>
      <c r="B1609">
        <f>HYPERLINK("https://www.suredividend.com/sure-analysis-research-database/","Scorpio Tankers Inc")</f>
        <v>0</v>
      </c>
      <c r="C1609">
        <v>-0.06182795698924701</v>
      </c>
      <c r="D1609">
        <v>0.161546763787127</v>
      </c>
      <c r="E1609">
        <v>0.486624637928096</v>
      </c>
      <c r="F1609">
        <v>-0.09131485958713001</v>
      </c>
      <c r="G1609">
        <v>2.772070006407733</v>
      </c>
      <c r="H1609">
        <v>2.726471216327527</v>
      </c>
      <c r="I1609">
        <v>0.6334035369237451</v>
      </c>
    </row>
    <row r="1610" spans="1:9">
      <c r="A1610" s="1" t="s">
        <v>1622</v>
      </c>
      <c r="B1610">
        <f>HYPERLINK("https://www.suredividend.com/sure-analysis-research-database/","Stoke Therapeutics Inc")</f>
        <v>0</v>
      </c>
      <c r="C1610">
        <v>0.07402597402597301</v>
      </c>
      <c r="D1610">
        <v>-0.338928856914468</v>
      </c>
      <c r="E1610">
        <v>-0.430048242591316</v>
      </c>
      <c r="F1610">
        <v>-0.104008667388949</v>
      </c>
      <c r="G1610">
        <v>-0.590796635329045</v>
      </c>
      <c r="H1610">
        <v>-0.8647809025506861</v>
      </c>
      <c r="I1610">
        <v>-0.6765741102854901</v>
      </c>
    </row>
    <row r="1611" spans="1:9">
      <c r="A1611" s="1" t="s">
        <v>1623</v>
      </c>
      <c r="B1611">
        <f>HYPERLINK("https://www.suredividend.com/sure-analysis-research-database/","StoneMor Inc")</f>
        <v>0</v>
      </c>
      <c r="C1611">
        <v>0.026162790697674</v>
      </c>
      <c r="D1611">
        <v>0.035190615835777</v>
      </c>
      <c r="E1611">
        <v>0.4526748971193411</v>
      </c>
      <c r="F1611">
        <v>0.5482456140350871</v>
      </c>
      <c r="G1611">
        <v>0.368217054263565</v>
      </c>
      <c r="H1611">
        <v>3.057937693987814</v>
      </c>
      <c r="I1611">
        <v>1.434482758620689</v>
      </c>
    </row>
    <row r="1612" spans="1:9">
      <c r="A1612" s="1" t="s">
        <v>1624</v>
      </c>
      <c r="B1612">
        <f>HYPERLINK("https://www.suredividend.com/sure-analysis-research-database/","Strategic Education Inc")</f>
        <v>0</v>
      </c>
      <c r="C1612">
        <v>0.06955645161290301</v>
      </c>
      <c r="D1612">
        <v>0.3846655791190861</v>
      </c>
      <c r="E1612">
        <v>0.272456885179055</v>
      </c>
      <c r="F1612">
        <v>0.08375893769152101</v>
      </c>
      <c r="G1612">
        <v>0.490435436120934</v>
      </c>
      <c r="H1612">
        <v>-0.014653660280721</v>
      </c>
      <c r="I1612">
        <v>0.018038764152753</v>
      </c>
    </row>
    <row r="1613" spans="1:9">
      <c r="A1613" s="1" t="s">
        <v>1625</v>
      </c>
      <c r="B1613">
        <f>HYPERLINK("https://www.suredividend.com/sure-analysis-research-database/","Sterling Infrastructure Inc")</f>
        <v>0</v>
      </c>
      <c r="C1613">
        <v>0.023529411764705</v>
      </c>
      <c r="D1613">
        <v>0.4338530066815141</v>
      </c>
      <c r="E1613">
        <v>0.483410138248847</v>
      </c>
      <c r="F1613">
        <v>-0.018597560975609</v>
      </c>
      <c r="G1613">
        <v>0.211516748212269</v>
      </c>
      <c r="H1613">
        <v>0.468521897810218</v>
      </c>
      <c r="I1613">
        <v>1.203285420944558</v>
      </c>
    </row>
    <row r="1614" spans="1:9">
      <c r="A1614" s="1" t="s">
        <v>1626</v>
      </c>
      <c r="B1614">
        <f>HYPERLINK("https://www.suredividend.com/sure-analysis-research-database/","Sutro Biopharma Inc")</f>
        <v>0</v>
      </c>
      <c r="C1614">
        <v>0.109772423025435</v>
      </c>
      <c r="D1614">
        <v>0.507272727272727</v>
      </c>
      <c r="E1614">
        <v>0.37251655629139</v>
      </c>
      <c r="F1614">
        <v>0.0259900990099</v>
      </c>
      <c r="G1614">
        <v>-0.208213944603629</v>
      </c>
      <c r="H1614">
        <v>-0.681153846153846</v>
      </c>
      <c r="I1614">
        <v>-0.454605263157894</v>
      </c>
    </row>
    <row r="1615" spans="1:9">
      <c r="A1615" s="1" t="s">
        <v>1627</v>
      </c>
      <c r="B1615">
        <f>HYPERLINK("https://www.suredividend.com/sure-analysis-research-database/","Shattuck Labs Inc")</f>
        <v>0</v>
      </c>
      <c r="C1615">
        <v>0.191999999999999</v>
      </c>
      <c r="D1615">
        <v>0.095588235294117</v>
      </c>
      <c r="E1615">
        <v>-0.447124304267161</v>
      </c>
      <c r="F1615">
        <v>0.295652173913043</v>
      </c>
      <c r="G1615">
        <v>-0.605820105820105</v>
      </c>
      <c r="H1615">
        <v>-0.926637124569177</v>
      </c>
      <c r="I1615">
        <v>-0.8459948320413431</v>
      </c>
    </row>
    <row r="1616" spans="1:9">
      <c r="A1616" s="1" t="s">
        <v>1628</v>
      </c>
      <c r="B1616">
        <f>HYPERLINK("https://www.suredividend.com/sure-analysis-research-database/","Stereotaxis Inc")</f>
        <v>0</v>
      </c>
      <c r="C1616">
        <v>0.054455445544554</v>
      </c>
      <c r="D1616">
        <v>0.217142857142857</v>
      </c>
      <c r="E1616">
        <v>0.044117647058823</v>
      </c>
      <c r="F1616">
        <v>0.028985507246376</v>
      </c>
      <c r="G1616">
        <v>-0.654220779220779</v>
      </c>
      <c r="H1616">
        <v>-0.5880077369439071</v>
      </c>
      <c r="I1616">
        <v>1.315217391304347</v>
      </c>
    </row>
    <row r="1617" spans="1:9">
      <c r="A1617" s="1" t="s">
        <v>1629</v>
      </c>
      <c r="B1617">
        <f>HYPERLINK("https://www.suredividend.com/sure-analysis-research-database/","Summit Materials Inc")</f>
        <v>0</v>
      </c>
      <c r="C1617">
        <v>-0.011305549542949</v>
      </c>
      <c r="D1617">
        <v>0.257065435992971</v>
      </c>
      <c r="E1617">
        <v>0.284880902922033</v>
      </c>
      <c r="F1617">
        <v>0.045790771398379</v>
      </c>
      <c r="G1617">
        <v>-0.228348134806463</v>
      </c>
      <c r="H1617">
        <v>0.26073792872096</v>
      </c>
      <c r="I1617">
        <v>-0.044471192528273</v>
      </c>
    </row>
    <row r="1618" spans="1:9">
      <c r="A1618" s="1" t="s">
        <v>1630</v>
      </c>
      <c r="B1618">
        <f>HYPERLINK("https://www.suredividend.com/sure-analysis-research-database/","Sumo Logic Inc")</f>
        <v>0</v>
      </c>
      <c r="C1618">
        <v>-0.09688995215311001</v>
      </c>
      <c r="D1618">
        <v>0.008010680907877</v>
      </c>
      <c r="E1618">
        <v>-0.09145607701564301</v>
      </c>
      <c r="F1618">
        <v>-0.06790123456790101</v>
      </c>
      <c r="G1618">
        <v>-0.3780889621087311</v>
      </c>
      <c r="H1618">
        <v>-0.727436823104693</v>
      </c>
      <c r="I1618">
        <v>-0.7191220238095231</v>
      </c>
    </row>
    <row r="1619" spans="1:9">
      <c r="A1619" s="1" t="s">
        <v>1631</v>
      </c>
      <c r="B1619">
        <f>HYPERLINK("https://www.suredividend.com/sure-analysis-research-database/","Supernus Pharmaceuticals Inc")</f>
        <v>0</v>
      </c>
      <c r="C1619">
        <v>0.09423786545557701</v>
      </c>
      <c r="D1619">
        <v>0.158005407029137</v>
      </c>
      <c r="E1619">
        <v>0.278606965174129</v>
      </c>
      <c r="F1619">
        <v>0.08074011774600401</v>
      </c>
      <c r="G1619">
        <v>0.296670030272451</v>
      </c>
      <c r="H1619">
        <v>0.414159941305942</v>
      </c>
      <c r="I1619">
        <v>-0.09718969555035101</v>
      </c>
    </row>
    <row r="1620" spans="1:9">
      <c r="A1620" s="1" t="s">
        <v>1632</v>
      </c>
      <c r="B1620">
        <f>HYPERLINK("https://www.suredividend.com/sure-analysis-research-database/","Surface Oncology Inc")</f>
        <v>0</v>
      </c>
      <c r="C1620">
        <v>0.079177553106895</v>
      </c>
      <c r="D1620">
        <v>-0.09523809523809501</v>
      </c>
      <c r="E1620">
        <v>-0.5454545454545451</v>
      </c>
      <c r="F1620">
        <v>0.158536585365853</v>
      </c>
      <c r="G1620">
        <v>-0.7884187082405341</v>
      </c>
      <c r="H1620">
        <v>-0.9112149532710281</v>
      </c>
      <c r="I1620">
        <v>-0.9287321830457611</v>
      </c>
    </row>
    <row r="1621" spans="1:9">
      <c r="A1621" s="1" t="s">
        <v>1633</v>
      </c>
      <c r="B1621">
        <f>HYPERLINK("https://www.suredividend.com/sure-analysis-SVC/","Service Properties Trust")</f>
        <v>0</v>
      </c>
      <c r="C1621">
        <v>-0.038167938931297</v>
      </c>
      <c r="D1621">
        <v>0.398937843489202</v>
      </c>
      <c r="E1621">
        <v>0.302527523647077</v>
      </c>
      <c r="F1621">
        <v>0.037037037037036</v>
      </c>
      <c r="G1621">
        <v>-0.196513975980444</v>
      </c>
      <c r="H1621">
        <v>-0.320492193749606</v>
      </c>
      <c r="I1621">
        <v>-0.700061891990541</v>
      </c>
    </row>
    <row r="1622" spans="1:9">
      <c r="A1622" s="1" t="s">
        <v>1634</v>
      </c>
      <c r="B1622">
        <f>HYPERLINK("https://www.suredividend.com/sure-analysis-research-database/","ShockWave Medical Inc")</f>
        <v>0</v>
      </c>
      <c r="C1622">
        <v>-0.124402329827001</v>
      </c>
      <c r="D1622">
        <v>-0.236940793211864</v>
      </c>
      <c r="E1622">
        <v>-0.007684729064039</v>
      </c>
      <c r="F1622">
        <v>-0.020281114731773</v>
      </c>
      <c r="G1622">
        <v>0.191811619926635</v>
      </c>
      <c r="H1622">
        <v>0.6990553306342771</v>
      </c>
      <c r="I1622">
        <v>5.604590163934426</v>
      </c>
    </row>
    <row r="1623" spans="1:9">
      <c r="A1623" s="1" t="s">
        <v>1635</v>
      </c>
      <c r="B1623">
        <f>HYPERLINK("https://www.suredividend.com/sure-analysis-research-database/","Smith &amp; Wesson Brands Inc")</f>
        <v>0</v>
      </c>
      <c r="C1623">
        <v>0.024807713140504</v>
      </c>
      <c r="D1623">
        <v>-0.06889763779527501</v>
      </c>
      <c r="E1623">
        <v>-0.270793185847529</v>
      </c>
      <c r="F1623">
        <v>0.08986175115207301</v>
      </c>
      <c r="G1623">
        <v>-0.445197084059093</v>
      </c>
      <c r="H1623">
        <v>-0.485531246091179</v>
      </c>
      <c r="I1623">
        <v>-0.199661590524534</v>
      </c>
    </row>
    <row r="1624" spans="1:9">
      <c r="A1624" s="1" t="s">
        <v>1636</v>
      </c>
      <c r="B1624">
        <f>HYPERLINK("https://www.suredividend.com/sure-analysis-research-database/","Latham Group Inc")</f>
        <v>0</v>
      </c>
      <c r="C1624">
        <v>0.033536585365853</v>
      </c>
      <c r="D1624">
        <v>-0.09358288770053401</v>
      </c>
      <c r="E1624">
        <v>-0.4736024844720491</v>
      </c>
      <c r="F1624">
        <v>0.05279503105590001</v>
      </c>
      <c r="G1624">
        <v>-0.8335787923416791</v>
      </c>
      <c r="H1624">
        <v>-0.8755963302752291</v>
      </c>
      <c r="I1624">
        <v>-0.8755963302752291</v>
      </c>
    </row>
    <row r="1625" spans="1:9">
      <c r="A1625" s="1" t="s">
        <v>1637</v>
      </c>
      <c r="B1625">
        <f>HYPERLINK("https://www.suredividend.com/sure-analysis-research-database/","Schweitzer-Mauduit International, Inc.")</f>
        <v>0</v>
      </c>
      <c r="C1625">
        <v>-0.163031819806935</v>
      </c>
      <c r="D1625">
        <v>-0.140602055800293</v>
      </c>
      <c r="E1625">
        <v>-0.24698843623848</v>
      </c>
      <c r="F1625">
        <v>-0.205182441356316</v>
      </c>
      <c r="G1625">
        <v>-0.383364810439336</v>
      </c>
      <c r="H1625">
        <v>-0.216170788382854</v>
      </c>
      <c r="I1625">
        <v>-0.214031270878868</v>
      </c>
    </row>
    <row r="1626" spans="1:9">
      <c r="A1626" s="1" t="s">
        <v>1638</v>
      </c>
      <c r="B1626">
        <f>HYPERLINK("https://www.suredividend.com/sure-analysis-research-database/","Southwestern Energy Company")</f>
        <v>0</v>
      </c>
      <c r="C1626">
        <v>-0.003412969283276</v>
      </c>
      <c r="D1626">
        <v>-0.138643067846607</v>
      </c>
      <c r="E1626">
        <v>-0.041050903119868</v>
      </c>
      <c r="F1626">
        <v>-0.001709401709401</v>
      </c>
      <c r="G1626">
        <v>0.312359550561797</v>
      </c>
      <c r="H1626">
        <v>0.8481012658227841</v>
      </c>
      <c r="I1626">
        <v>0.022767075306479</v>
      </c>
    </row>
    <row r="1627" spans="1:9">
      <c r="A1627" s="1" t="s">
        <v>1639</v>
      </c>
      <c r="B1627">
        <f>HYPERLINK("https://www.suredividend.com/sure-analysis-research-database/","SpringWorks Therapeutics Inc")</f>
        <v>0</v>
      </c>
      <c r="C1627">
        <v>0.100875364735306</v>
      </c>
      <c r="D1627">
        <v>-0.033662641785583</v>
      </c>
      <c r="E1627">
        <v>-0.09399656946826701</v>
      </c>
      <c r="F1627">
        <v>0.015378700499807</v>
      </c>
      <c r="G1627">
        <v>-0.528897609703888</v>
      </c>
      <c r="H1627">
        <v>-0.602797413144833</v>
      </c>
      <c r="I1627">
        <v>0.167034909412284</v>
      </c>
    </row>
    <row r="1628" spans="1:9">
      <c r="A1628" s="1" t="s">
        <v>1640</v>
      </c>
      <c r="B1628">
        <f>HYPERLINK("https://www.suredividend.com/sure-analysis-SWX/","Southwest Gas Holdings Inc")</f>
        <v>0</v>
      </c>
      <c r="C1628">
        <v>-0.08263761143342201</v>
      </c>
      <c r="D1628">
        <v>-0.038063485139171</v>
      </c>
      <c r="E1628">
        <v>-0.235785468253799</v>
      </c>
      <c r="F1628">
        <v>0.047672915319973</v>
      </c>
      <c r="G1628">
        <v>-0.017667737438632</v>
      </c>
      <c r="H1628">
        <v>0.185690509720723</v>
      </c>
      <c r="I1628">
        <v>-0.027877119349338</v>
      </c>
    </row>
    <row r="1629" spans="1:9">
      <c r="A1629" s="1" t="s">
        <v>1641</v>
      </c>
      <c r="B1629">
        <f>HYPERLINK("https://www.suredividend.com/sure-analysis-research-database/","SunCoke Energy Inc")</f>
        <v>0</v>
      </c>
      <c r="C1629">
        <v>0.062423500611995</v>
      </c>
      <c r="D1629">
        <v>0.413703806250916</v>
      </c>
      <c r="E1629">
        <v>0.339196173725218</v>
      </c>
      <c r="F1629">
        <v>0.005793742757821001</v>
      </c>
      <c r="G1629">
        <v>0.271869413592005</v>
      </c>
      <c r="H1629">
        <v>0.7109179429562611</v>
      </c>
      <c r="I1629">
        <v>-0.174630342794656</v>
      </c>
    </row>
    <row r="1630" spans="1:9">
      <c r="A1630" s="1" t="s">
        <v>1642</v>
      </c>
      <c r="B1630">
        <f>HYPERLINK("https://www.suredividend.com/sure-analysis-SXI/","Standex International Corp.")</f>
        <v>0</v>
      </c>
      <c r="C1630">
        <v>0.018091140230784</v>
      </c>
      <c r="D1630">
        <v>0.2663508999837</v>
      </c>
      <c r="E1630">
        <v>0.277150645138338</v>
      </c>
      <c r="F1630">
        <v>0.016599941411971</v>
      </c>
      <c r="G1630">
        <v>-0.046776702567046</v>
      </c>
      <c r="H1630">
        <v>0.278683168815409</v>
      </c>
      <c r="I1630">
        <v>0.07013490010977801</v>
      </c>
    </row>
    <row r="1631" spans="1:9">
      <c r="A1631" s="1" t="s">
        <v>1643</v>
      </c>
      <c r="B1631">
        <f>HYPERLINK("https://www.suredividend.com/sure-analysis-SXT/","Sensient Technologies Corp.")</f>
        <v>0</v>
      </c>
      <c r="C1631">
        <v>0.011331058020477</v>
      </c>
      <c r="D1631">
        <v>0.08068207844573101</v>
      </c>
      <c r="E1631">
        <v>-0.06922746382074001</v>
      </c>
      <c r="F1631">
        <v>0.015907844212835</v>
      </c>
      <c r="G1631">
        <v>-0.208692419769016</v>
      </c>
      <c r="H1631">
        <v>-0.003311084531544</v>
      </c>
      <c r="I1631">
        <v>0.139532773104072</v>
      </c>
    </row>
    <row r="1632" spans="1:9">
      <c r="A1632" s="1" t="s">
        <v>1644</v>
      </c>
      <c r="B1632">
        <f>HYPERLINK("https://www.suredividend.com/sure-analysis-research-database/","Stock Yards Bancorp Inc")</f>
        <v>0</v>
      </c>
      <c r="C1632">
        <v>-0.122542965574088</v>
      </c>
      <c r="D1632">
        <v>-0.09189636147125001</v>
      </c>
      <c r="E1632">
        <v>0.001051119723338</v>
      </c>
      <c r="F1632">
        <v>-0.040012311480455</v>
      </c>
      <c r="G1632">
        <v>-0.033497567475442</v>
      </c>
      <c r="H1632">
        <v>0.539821086514346</v>
      </c>
      <c r="I1632">
        <v>0.8867467984586631</v>
      </c>
    </row>
    <row r="1633" spans="1:9">
      <c r="A1633" s="1" t="s">
        <v>1645</v>
      </c>
      <c r="B1633">
        <f>HYPERLINK("https://www.suredividend.com/sure-analysis-research-database/","Synaptics Inc")</f>
        <v>0</v>
      </c>
      <c r="C1633">
        <v>0.014983131573724</v>
      </c>
      <c r="D1633">
        <v>0.076057227014517</v>
      </c>
      <c r="E1633">
        <v>-0.146374029875657</v>
      </c>
      <c r="F1633">
        <v>0.07492643968053801</v>
      </c>
      <c r="G1633">
        <v>-0.5942322186520681</v>
      </c>
      <c r="H1633">
        <v>-0.018800959232613</v>
      </c>
      <c r="I1633">
        <v>1.413638508730533</v>
      </c>
    </row>
    <row r="1634" spans="1:9">
      <c r="A1634" s="1" t="s">
        <v>1646</v>
      </c>
      <c r="B1634">
        <f>HYPERLINK("https://www.suredividend.com/sure-analysis-research-database/","Syros Pharmaceuticals Inc.")</f>
        <v>0</v>
      </c>
      <c r="C1634">
        <v>-0.019607843137254</v>
      </c>
      <c r="D1634">
        <v>-0.473684210526315</v>
      </c>
      <c r="E1634">
        <v>-0.6004566210045661</v>
      </c>
      <c r="F1634">
        <v>-0.025069637883008</v>
      </c>
      <c r="G1634">
        <v>-0.9</v>
      </c>
      <c r="H1634">
        <v>-0.97140522875817</v>
      </c>
      <c r="I1634">
        <v>-0.9663137632338781</v>
      </c>
    </row>
    <row r="1635" spans="1:9">
      <c r="A1635" s="1" t="s">
        <v>1647</v>
      </c>
      <c r="B1635">
        <f>HYPERLINK("https://www.suredividend.com/sure-analysis-research-database/","TravelCenters of America Inc")</f>
        <v>0</v>
      </c>
      <c r="C1635">
        <v>0.01142104107182</v>
      </c>
      <c r="D1635">
        <v>-0.162117903930131</v>
      </c>
      <c r="E1635">
        <v>0.291000841042893</v>
      </c>
      <c r="F1635">
        <v>0.028360875390799</v>
      </c>
      <c r="G1635">
        <v>-0.030526315789473</v>
      </c>
      <c r="H1635">
        <v>0.4878836833602581</v>
      </c>
      <c r="I1635">
        <v>1.80450669914738</v>
      </c>
    </row>
    <row r="1636" spans="1:9">
      <c r="A1636" s="1" t="s">
        <v>1648</v>
      </c>
      <c r="B1636">
        <f>HYPERLINK("https://www.suredividend.com/sure-analysis-research-database/","Talos Energy Inc")</f>
        <v>0</v>
      </c>
      <c r="C1636">
        <v>0.032506887052341</v>
      </c>
      <c r="D1636">
        <v>-0.129586623316303</v>
      </c>
      <c r="E1636">
        <v>0.3077459874389391</v>
      </c>
      <c r="F1636">
        <v>-0.007415254237288</v>
      </c>
      <c r="G1636">
        <v>0.714547118023787</v>
      </c>
      <c r="H1636">
        <v>1.006423982869379</v>
      </c>
      <c r="I1636">
        <v>-0.484456671251719</v>
      </c>
    </row>
    <row r="1637" spans="1:9">
      <c r="A1637" s="1" t="s">
        <v>1649</v>
      </c>
      <c r="B1637">
        <f>HYPERLINK("https://www.suredividend.com/sure-analysis-research-database/","Talaris Therapeutics Inc")</f>
        <v>0</v>
      </c>
      <c r="C1637">
        <v>-0.121212121212121</v>
      </c>
      <c r="D1637">
        <v>-0.5284552845528451</v>
      </c>
      <c r="E1637">
        <v>-0.6270096463022501</v>
      </c>
      <c r="F1637">
        <v>0.137254901960784</v>
      </c>
      <c r="G1637">
        <v>-0.914893617021276</v>
      </c>
      <c r="H1637">
        <v>-0.9286153846153841</v>
      </c>
      <c r="I1637">
        <v>-0.9286153846153841</v>
      </c>
    </row>
    <row r="1638" spans="1:9">
      <c r="A1638" s="1" t="s">
        <v>1650</v>
      </c>
      <c r="B1638">
        <f>HYPERLINK("https://www.suredividend.com/sure-analysis-research-database/","Tarsus Pharmaceuticals Inc")</f>
        <v>0</v>
      </c>
      <c r="C1638">
        <v>-0.044573643410852</v>
      </c>
      <c r="D1638">
        <v>-0.112777444511097</v>
      </c>
      <c r="E1638">
        <v>0.005438477226376</v>
      </c>
      <c r="F1638">
        <v>0.008867667121418</v>
      </c>
      <c r="G1638">
        <v>-0.352168199737187</v>
      </c>
      <c r="H1638">
        <v>-0.669718624385886</v>
      </c>
      <c r="I1638">
        <v>-0.28134110787172</v>
      </c>
    </row>
    <row r="1639" spans="1:9">
      <c r="A1639" s="1" t="s">
        <v>1651</v>
      </c>
      <c r="B1639">
        <f>HYPERLINK("https://www.suredividend.com/sure-analysis-research-database/","Carrols Restaurant Group Inc.")</f>
        <v>0</v>
      </c>
      <c r="C1639">
        <v>0.163120567375886</v>
      </c>
      <c r="D1639">
        <v>-0.006060606060606001</v>
      </c>
      <c r="E1639">
        <v>-0.196078431372549</v>
      </c>
      <c r="F1639">
        <v>0.205882352941176</v>
      </c>
      <c r="G1639">
        <v>-0.434482758620689</v>
      </c>
      <c r="H1639">
        <v>-0.708506629696775</v>
      </c>
      <c r="I1639">
        <v>-0.8157738061805641</v>
      </c>
    </row>
    <row r="1640" spans="1:9">
      <c r="A1640" s="1" t="s">
        <v>1652</v>
      </c>
      <c r="B1640">
        <f>HYPERLINK("https://www.suredividend.com/sure-analysis-research-database/","Bancorp Inc. (The)")</f>
        <v>0</v>
      </c>
      <c r="C1640">
        <v>0.011518324607329</v>
      </c>
      <c r="D1640">
        <v>0.277777777777777</v>
      </c>
      <c r="E1640">
        <v>0.417808219178082</v>
      </c>
      <c r="F1640">
        <v>0.021141649048625</v>
      </c>
      <c r="G1640">
        <v>0.062316715542521</v>
      </c>
      <c r="H1640">
        <v>0.892880470280862</v>
      </c>
      <c r="I1640">
        <v>1.827317073170732</v>
      </c>
    </row>
    <row r="1641" spans="1:9">
      <c r="A1641" s="1" t="s">
        <v>1653</v>
      </c>
      <c r="B1641">
        <f>HYPERLINK("https://www.suredividend.com/sure-analysis-research-database/","TrueBlue Inc")</f>
        <v>0</v>
      </c>
      <c r="C1641">
        <v>0.016427104722792</v>
      </c>
      <c r="D1641">
        <v>0.013824884792626</v>
      </c>
      <c r="E1641">
        <v>0.07608695652173901</v>
      </c>
      <c r="F1641">
        <v>0.011235955056179</v>
      </c>
      <c r="G1641">
        <v>-0.276315789473684</v>
      </c>
      <c r="H1641">
        <v>0.010204081632652</v>
      </c>
      <c r="I1641">
        <v>-0.277372262773722</v>
      </c>
    </row>
    <row r="1642" spans="1:9">
      <c r="A1642" s="1" t="s">
        <v>1654</v>
      </c>
      <c r="B1642">
        <f>HYPERLINK("https://www.suredividend.com/sure-analysis-research-database/","Triumph Bancorp Inc")</f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</row>
    <row r="1643" spans="1:9">
      <c r="A1643" s="1" t="s">
        <v>1655</v>
      </c>
      <c r="B1643">
        <f>HYPERLINK("https://www.suredividend.com/sure-analysis-research-database/","Theravance Biopharma Inc")</f>
        <v>0</v>
      </c>
      <c r="C1643">
        <v>-0.039631336405529</v>
      </c>
      <c r="D1643">
        <v>0.051463168516649</v>
      </c>
      <c r="E1643">
        <v>0.128927410617551</v>
      </c>
      <c r="F1643">
        <v>-0.07130124777183601</v>
      </c>
      <c r="G1643">
        <v>-0.195987654320987</v>
      </c>
      <c r="H1643">
        <v>-0.409966024915062</v>
      </c>
      <c r="I1643">
        <v>-0.618594436310395</v>
      </c>
    </row>
    <row r="1644" spans="1:9">
      <c r="A1644" s="1" t="s">
        <v>1656</v>
      </c>
      <c r="B1644">
        <f>HYPERLINK("https://www.suredividend.com/sure-analysis-research-database/","Texas Capital Bancshares, Inc.")</f>
        <v>0</v>
      </c>
      <c r="C1644">
        <v>0.058342041100661</v>
      </c>
      <c r="D1644">
        <v>-0.02736875800256</v>
      </c>
      <c r="E1644">
        <v>0.117300974443831</v>
      </c>
      <c r="F1644">
        <v>0.007627259161001001</v>
      </c>
      <c r="G1644">
        <v>-0.07938191183154</v>
      </c>
      <c r="H1644">
        <v>-0.05870508054522901</v>
      </c>
      <c r="I1644">
        <v>-0.359304164470216</v>
      </c>
    </row>
    <row r="1645" spans="1:9">
      <c r="A1645" s="1" t="s">
        <v>1657</v>
      </c>
      <c r="B1645">
        <f>HYPERLINK("https://www.suredividend.com/sure-analysis-research-database/","Trico Bancshares")</f>
        <v>0</v>
      </c>
      <c r="C1645">
        <v>-0.04163393558523101</v>
      </c>
      <c r="D1645">
        <v>0.044165192068623</v>
      </c>
      <c r="E1645">
        <v>0.062694627730232</v>
      </c>
      <c r="F1645">
        <v>-0.042949597960384</v>
      </c>
      <c r="G1645">
        <v>0.110026863559956</v>
      </c>
      <c r="H1645">
        <v>0.300088715070106</v>
      </c>
      <c r="I1645">
        <v>0.410624779589878</v>
      </c>
    </row>
    <row r="1646" spans="1:9">
      <c r="A1646" s="1" t="s">
        <v>1658</v>
      </c>
      <c r="B1646">
        <f>HYPERLINK("https://www.suredividend.com/sure-analysis-research-database/","Third Coast Bancshares Inc")</f>
        <v>0</v>
      </c>
      <c r="C1646">
        <v>-0.031233732431025</v>
      </c>
      <c r="D1646">
        <v>0.105763517528223</v>
      </c>
      <c r="E1646">
        <v>-0.140018484288354</v>
      </c>
      <c r="F1646">
        <v>0.009766684753119001</v>
      </c>
      <c r="G1646">
        <v>-0.277562111801242</v>
      </c>
      <c r="H1646">
        <v>-0.255897640943622</v>
      </c>
      <c r="I1646">
        <v>-0.255897640943622</v>
      </c>
    </row>
    <row r="1647" spans="1:9">
      <c r="A1647" s="1" t="s">
        <v>1659</v>
      </c>
      <c r="B1647">
        <f>HYPERLINK("https://www.suredividend.com/sure-analysis-research-database/","Tactile Systems Technology Inc")</f>
        <v>0</v>
      </c>
      <c r="C1647">
        <v>0.18647342995169</v>
      </c>
      <c r="D1647">
        <v>0.673024523160762</v>
      </c>
      <c r="E1647">
        <v>0.584516129032258</v>
      </c>
      <c r="F1647">
        <v>0.069686411149825</v>
      </c>
      <c r="G1647">
        <v>-0.317777777777777</v>
      </c>
      <c r="H1647">
        <v>-0.7612520657140081</v>
      </c>
      <c r="I1647">
        <v>-0.563920454545454</v>
      </c>
    </row>
    <row r="1648" spans="1:9">
      <c r="A1648" s="1" t="s">
        <v>1660</v>
      </c>
      <c r="B1648">
        <f>HYPERLINK("https://www.suredividend.com/sure-analysis-research-database/","Tcr2 Therapeutics Inc")</f>
        <v>0</v>
      </c>
      <c r="C1648">
        <v>0.043859649122807</v>
      </c>
      <c r="D1648">
        <v>-0.29585798816568</v>
      </c>
      <c r="E1648">
        <v>-0.6404833836858</v>
      </c>
      <c r="F1648">
        <v>0.19142971565879</v>
      </c>
      <c r="G1648">
        <v>-0.711864406779661</v>
      </c>
      <c r="H1648">
        <v>-0.9631578947368421</v>
      </c>
      <c r="I1648">
        <v>-0.9210351692103511</v>
      </c>
    </row>
    <row r="1649" spans="1:9">
      <c r="A1649" s="1" t="s">
        <v>1661</v>
      </c>
      <c r="B1649">
        <f>HYPERLINK("https://www.suredividend.com/sure-analysis-research-database/","Alaunos Therapeutics Inc")</f>
        <v>0</v>
      </c>
      <c r="C1649">
        <v>0.232034204900509</v>
      </c>
      <c r="D1649">
        <v>-0.486849315068493</v>
      </c>
      <c r="E1649">
        <v>-0.440895522388059</v>
      </c>
      <c r="F1649">
        <v>0.154213526421198</v>
      </c>
      <c r="G1649">
        <v>-0.247413360120542</v>
      </c>
      <c r="H1649">
        <v>-0.762911392405063</v>
      </c>
      <c r="I1649">
        <v>-0.8174908647990251</v>
      </c>
    </row>
    <row r="1650" spans="1:9">
      <c r="A1650" s="1" t="s">
        <v>1662</v>
      </c>
      <c r="B1650">
        <f>HYPERLINK("https://www.suredividend.com/sure-analysis-research-database/","Container Store Group Inc")</f>
        <v>0</v>
      </c>
      <c r="C1650">
        <v>-0.035928143712574</v>
      </c>
      <c r="D1650">
        <v>-0.09719626168224201</v>
      </c>
      <c r="E1650">
        <v>-0.289705882352941</v>
      </c>
      <c r="F1650">
        <v>0.120649651972157</v>
      </c>
      <c r="G1650">
        <v>-0.5687500000000001</v>
      </c>
      <c r="H1650">
        <v>-0.5748239436619711</v>
      </c>
      <c r="I1650">
        <v>0.04094827586206801</v>
      </c>
    </row>
    <row r="1651" spans="1:9">
      <c r="A1651" s="1" t="s">
        <v>1663</v>
      </c>
      <c r="B1651">
        <f>HYPERLINK("https://www.suredividend.com/sure-analysis-research-database/","Tucows, Inc.")</f>
        <v>0</v>
      </c>
      <c r="C1651">
        <v>0.166719292706031</v>
      </c>
      <c r="D1651">
        <v>-0.078323771514093</v>
      </c>
      <c r="E1651">
        <v>-0.223413198823034</v>
      </c>
      <c r="F1651">
        <v>0.08932783018867901</v>
      </c>
      <c r="G1651">
        <v>-0.547236858228158</v>
      </c>
      <c r="H1651">
        <v>-0.4880144104198421</v>
      </c>
      <c r="I1651">
        <v>-0.32695810564663</v>
      </c>
    </row>
    <row r="1652" spans="1:9">
      <c r="A1652" s="1" t="s">
        <v>1664</v>
      </c>
      <c r="B1652">
        <f>HYPERLINK("https://www.suredividend.com/sure-analysis-TDS/","Telephone And Data Systems, Inc.")</f>
        <v>0</v>
      </c>
      <c r="C1652">
        <v>0.170629683026377</v>
      </c>
      <c r="D1652">
        <v>-0.136245477087656</v>
      </c>
      <c r="E1652">
        <v>-0.215229849852302</v>
      </c>
      <c r="F1652">
        <v>0.09914204003813101</v>
      </c>
      <c r="G1652">
        <v>-0.4172028770869241</v>
      </c>
      <c r="H1652">
        <v>-0.355484253244938</v>
      </c>
      <c r="I1652">
        <v>-0.5033062657505331</v>
      </c>
    </row>
    <row r="1653" spans="1:9">
      <c r="A1653" s="1" t="s">
        <v>1665</v>
      </c>
      <c r="B1653">
        <f>HYPERLINK("https://www.suredividend.com/sure-analysis-research-database/","Tidewater Inc.")</f>
        <v>0</v>
      </c>
      <c r="C1653">
        <v>0.268027210884353</v>
      </c>
      <c r="D1653">
        <v>0.4995977473853581</v>
      </c>
      <c r="E1653">
        <v>0.9117948717948711</v>
      </c>
      <c r="F1653">
        <v>0.011668928086838</v>
      </c>
      <c r="G1653">
        <v>2.098919368246052</v>
      </c>
      <c r="H1653">
        <v>2.53030303030303</v>
      </c>
      <c r="I1653">
        <v>0.338599640933572</v>
      </c>
    </row>
    <row r="1654" spans="1:9">
      <c r="A1654" s="1" t="s">
        <v>1666</v>
      </c>
      <c r="B1654">
        <f>HYPERLINK("https://www.suredividend.com/sure-analysis-research-database/","Tellurian Inc")</f>
        <v>0</v>
      </c>
      <c r="C1654">
        <v>-0.130841121495327</v>
      </c>
      <c r="D1654">
        <v>-0.311111111111111</v>
      </c>
      <c r="E1654">
        <v>-0.40192926045016</v>
      </c>
      <c r="F1654">
        <v>0.107142857142857</v>
      </c>
      <c r="G1654">
        <v>-0.38</v>
      </c>
      <c r="H1654">
        <v>0.256756756756756</v>
      </c>
      <c r="I1654">
        <v>-0.832281334535617</v>
      </c>
    </row>
    <row r="1655" spans="1:9">
      <c r="A1655" s="1" t="s">
        <v>1667</v>
      </c>
      <c r="B1655">
        <f>HYPERLINK("https://www.suredividend.com/sure-analysis-research-database/","Tenneco, Inc.")</f>
        <v>0</v>
      </c>
      <c r="C1655">
        <v>0.08288190682556801</v>
      </c>
      <c r="D1655">
        <v>0.036825726141078</v>
      </c>
      <c r="E1655">
        <v>0.253291536050156</v>
      </c>
      <c r="F1655">
        <v>0.769026548672566</v>
      </c>
      <c r="G1655">
        <v>0.581487341772151</v>
      </c>
      <c r="H1655">
        <v>1.206401766004414</v>
      </c>
      <c r="I1655">
        <v>-0.6283246720648521</v>
      </c>
    </row>
    <row r="1656" spans="1:9">
      <c r="A1656" s="1" t="s">
        <v>1668</v>
      </c>
      <c r="B1656">
        <f>HYPERLINK("https://www.suredividend.com/sure-analysis-research-database/","Tenable Holdings Inc")</f>
        <v>0</v>
      </c>
      <c r="C1656">
        <v>-0.02098085496984</v>
      </c>
      <c r="D1656">
        <v>0.101179941002949</v>
      </c>
      <c r="E1656">
        <v>-0.277810021280712</v>
      </c>
      <c r="F1656">
        <v>-0.021494102228047</v>
      </c>
      <c r="G1656">
        <v>-0.245401253284819</v>
      </c>
      <c r="H1656">
        <v>-0.31264960412447</v>
      </c>
      <c r="I1656">
        <v>0.234049586776859</v>
      </c>
    </row>
    <row r="1657" spans="1:9">
      <c r="A1657" s="1" t="s">
        <v>1669</v>
      </c>
      <c r="B1657">
        <f>HYPERLINK("https://www.suredividend.com/sure-analysis-research-database/","Terns Pharmaceuticals Inc")</f>
        <v>0</v>
      </c>
      <c r="C1657">
        <v>0.6799276672694391</v>
      </c>
      <c r="D1657">
        <v>0.525451559934318</v>
      </c>
      <c r="E1657">
        <v>2.492481203007518</v>
      </c>
      <c r="F1657">
        <v>-0.08742632612966601</v>
      </c>
      <c r="G1657">
        <v>0.5229508196721311</v>
      </c>
      <c r="H1657">
        <v>-0.4948341489940181</v>
      </c>
      <c r="I1657">
        <v>-0.4948341489940181</v>
      </c>
    </row>
    <row r="1658" spans="1:9">
      <c r="A1658" s="1" t="s">
        <v>1670</v>
      </c>
      <c r="B1658">
        <f>HYPERLINK("https://www.suredividend.com/sure-analysis-research-database/","Terex Corp.")</f>
        <v>0</v>
      </c>
      <c r="C1658">
        <v>0.014016544117646</v>
      </c>
      <c r="D1658">
        <v>0.399468500066596</v>
      </c>
      <c r="E1658">
        <v>0.579201631805901</v>
      </c>
      <c r="F1658">
        <v>0.033005617977528</v>
      </c>
      <c r="G1658">
        <v>-0.015263087428035</v>
      </c>
      <c r="H1658">
        <v>0.193654400129833</v>
      </c>
      <c r="I1658">
        <v>-0.016542499493005</v>
      </c>
    </row>
    <row r="1659" spans="1:9">
      <c r="A1659" s="1" t="s">
        <v>1671</v>
      </c>
      <c r="B1659">
        <f>HYPERLINK("https://www.suredividend.com/sure-analysis-research-database/","Tredegar Corp.")</f>
        <v>0</v>
      </c>
      <c r="C1659">
        <v>0.035002763129548</v>
      </c>
      <c r="D1659">
        <v>0.124556029350403</v>
      </c>
      <c r="E1659">
        <v>0.140303805828448</v>
      </c>
      <c r="F1659">
        <v>0.08121330724070401</v>
      </c>
      <c r="G1659">
        <v>-0.052096111449477</v>
      </c>
      <c r="H1659">
        <v>-0.283909014321819</v>
      </c>
      <c r="I1659">
        <v>-0.05301407195379</v>
      </c>
    </row>
    <row r="1660" spans="1:9">
      <c r="A1660" s="1" t="s">
        <v>1672</v>
      </c>
      <c r="B1660">
        <f>HYPERLINK("https://www.suredividend.com/sure-analysis-research-database/","Textainer Group Holdings Limited")</f>
        <v>0</v>
      </c>
      <c r="C1660">
        <v>0.050641236435382</v>
      </c>
      <c r="D1660">
        <v>0.178279822096342</v>
      </c>
      <c r="E1660">
        <v>0.20435603704667</v>
      </c>
      <c r="F1660">
        <v>0.030312802321831</v>
      </c>
      <c r="G1660">
        <v>-0.114487483647812</v>
      </c>
      <c r="H1660">
        <v>0.738094460945915</v>
      </c>
      <c r="I1660">
        <v>0.4255374209150201</v>
      </c>
    </row>
    <row r="1661" spans="1:9">
      <c r="A1661" s="1" t="s">
        <v>1673</v>
      </c>
      <c r="B1661">
        <f>HYPERLINK("https://www.suredividend.com/sure-analysis-research-database/","Triumph Group Inc.")</f>
        <v>0</v>
      </c>
      <c r="C1661">
        <v>-0.191489361702127</v>
      </c>
      <c r="D1661">
        <v>0.057906458797327</v>
      </c>
      <c r="E1661">
        <v>-0.286786786786786</v>
      </c>
      <c r="F1661">
        <v>-0.096958174904942</v>
      </c>
      <c r="G1661">
        <v>-0.541062801932367</v>
      </c>
      <c r="H1661">
        <v>-0.241819632881085</v>
      </c>
      <c r="I1661">
        <v>-0.657457687010074</v>
      </c>
    </row>
    <row r="1662" spans="1:9">
      <c r="A1662" s="1" t="s">
        <v>1674</v>
      </c>
      <c r="B1662">
        <f>HYPERLINK("https://www.suredividend.com/sure-analysis-research-database/","TEGNA Inc")</f>
        <v>0</v>
      </c>
      <c r="C1662">
        <v>0.037074148296593</v>
      </c>
      <c r="D1662">
        <v>0.004810469445509001</v>
      </c>
      <c r="E1662">
        <v>0.042038973264401</v>
      </c>
      <c r="F1662">
        <v>-0.023124115148655</v>
      </c>
      <c r="G1662">
        <v>0.140860440250878</v>
      </c>
      <c r="H1662">
        <v>0.389793410902157</v>
      </c>
      <c r="I1662">
        <v>0.5730320001823801</v>
      </c>
    </row>
    <row r="1663" spans="1:9">
      <c r="A1663" s="1" t="s">
        <v>1675</v>
      </c>
      <c r="B1663">
        <f>HYPERLINK("https://www.suredividend.com/sure-analysis-research-database/","TG Therapeutics Inc")</f>
        <v>0</v>
      </c>
      <c r="C1663">
        <v>0.549202127659574</v>
      </c>
      <c r="D1663">
        <v>1.058303886925795</v>
      </c>
      <c r="E1663">
        <v>1.069271758436944</v>
      </c>
      <c r="F1663">
        <v>-0.015215553677092</v>
      </c>
      <c r="G1663">
        <v>-0.335045662100456</v>
      </c>
      <c r="H1663">
        <v>-0.7842592592592591</v>
      </c>
      <c r="I1663">
        <v>0.31638418079096</v>
      </c>
    </row>
    <row r="1664" spans="1:9">
      <c r="A1664" s="1" t="s">
        <v>1676</v>
      </c>
      <c r="B1664">
        <f>HYPERLINK("https://www.suredividend.com/sure-analysis-research-database/","Target Hospitality Corp")</f>
        <v>0</v>
      </c>
      <c r="C1664">
        <v>0.04342105263157901</v>
      </c>
      <c r="D1664">
        <v>0.317275747508305</v>
      </c>
      <c r="E1664">
        <v>1.084099868593955</v>
      </c>
      <c r="F1664">
        <v>0.047556142668427</v>
      </c>
      <c r="G1664">
        <v>3.455056179775281</v>
      </c>
      <c r="H1664">
        <v>8.670731707317074</v>
      </c>
      <c r="I1664">
        <v>0.613428280773143</v>
      </c>
    </row>
    <row r="1665" spans="1:9">
      <c r="A1665" s="1" t="s">
        <v>1677</v>
      </c>
      <c r="B1665">
        <f>HYPERLINK("https://www.suredividend.com/sure-analysis-research-database/","Tenet Healthcare Corp.")</f>
        <v>0</v>
      </c>
      <c r="C1665">
        <v>0.184914285714285</v>
      </c>
      <c r="D1665">
        <v>-0.036072889550018</v>
      </c>
      <c r="E1665">
        <v>-0.05984766050054401</v>
      </c>
      <c r="F1665">
        <v>0.062512810002049</v>
      </c>
      <c r="G1665">
        <v>-0.307692307692307</v>
      </c>
      <c r="H1665">
        <v>0.12695652173913</v>
      </c>
      <c r="I1665">
        <v>2.43084050297816</v>
      </c>
    </row>
    <row r="1666" spans="1:9">
      <c r="A1666" s="1" t="s">
        <v>1678</v>
      </c>
      <c r="B1666">
        <f>HYPERLINK("https://www.suredividend.com/sure-analysis-THFF/","First Financial Corp. - Indiana")</f>
        <v>0</v>
      </c>
      <c r="C1666">
        <v>-0.016193174434018</v>
      </c>
      <c r="D1666">
        <v>-0.000457738420098</v>
      </c>
      <c r="E1666">
        <v>0.028383567598898</v>
      </c>
      <c r="F1666">
        <v>-0.010002419412845</v>
      </c>
      <c r="G1666">
        <v>0.008105684632935001</v>
      </c>
      <c r="H1666">
        <v>0.167162192373615</v>
      </c>
      <c r="I1666">
        <v>0.130171242591182</v>
      </c>
    </row>
    <row r="1667" spans="1:9">
      <c r="A1667" s="1" t="s">
        <v>1679</v>
      </c>
      <c r="B1667">
        <f>HYPERLINK("https://www.suredividend.com/sure-analysis-research-database/","Thermon Group Holdings Inc")</f>
        <v>0</v>
      </c>
      <c r="C1667">
        <v>0.07858243451463701</v>
      </c>
      <c r="D1667">
        <v>0.345291479820627</v>
      </c>
      <c r="E1667">
        <v>0.463414634146341</v>
      </c>
      <c r="F1667">
        <v>0.045816733067729</v>
      </c>
      <c r="G1667">
        <v>0.239669421487603</v>
      </c>
      <c r="H1667">
        <v>0.197263397947548</v>
      </c>
      <c r="I1667">
        <v>-0.136513157894736</v>
      </c>
    </row>
    <row r="1668" spans="1:9">
      <c r="A1668" s="1" t="s">
        <v>1680</v>
      </c>
      <c r="B1668">
        <f>HYPERLINK("https://www.suredividend.com/sure-analysis-research-database/","Gentherm Inc")</f>
        <v>0</v>
      </c>
      <c r="C1668">
        <v>0.000143719459614</v>
      </c>
      <c r="D1668">
        <v>0.271050228310502</v>
      </c>
      <c r="E1668">
        <v>0.115403109472671</v>
      </c>
      <c r="F1668">
        <v>0.065860009189768</v>
      </c>
      <c r="G1668">
        <v>-0.191847636743699</v>
      </c>
      <c r="H1668">
        <v>0.001871580765908</v>
      </c>
      <c r="I1668">
        <v>1.157829457364341</v>
      </c>
    </row>
    <row r="1669" spans="1:9">
      <c r="A1669" s="1" t="s">
        <v>1681</v>
      </c>
      <c r="B1669">
        <f>HYPERLINK("https://www.suredividend.com/sure-analysis-research-database/","Theseus Pharmaceuticals Inc")</f>
        <v>0</v>
      </c>
      <c r="C1669">
        <v>0.4045936395759711</v>
      </c>
      <c r="D1669">
        <v>0.5171755725190831</v>
      </c>
      <c r="E1669">
        <v>0.162280701754385</v>
      </c>
      <c r="F1669">
        <v>0.596385542168674</v>
      </c>
      <c r="G1669">
        <v>-0.191251271617497</v>
      </c>
      <c r="H1669">
        <v>-0.5721205597416571</v>
      </c>
      <c r="I1669">
        <v>-0.5721205597416571</v>
      </c>
    </row>
    <row r="1670" spans="1:9">
      <c r="A1670" s="1" t="s">
        <v>1682</v>
      </c>
      <c r="B1670">
        <f>HYPERLINK("https://www.suredividend.com/sure-analysis-research-database/","Thryv Holdings Inc")</f>
        <v>0</v>
      </c>
      <c r="C1670">
        <v>0.09311512415349901</v>
      </c>
      <c r="D1670">
        <v>-0.126296797474064</v>
      </c>
      <c r="E1670">
        <v>-0.15414847161572</v>
      </c>
      <c r="F1670">
        <v>0.019473684210526</v>
      </c>
      <c r="G1670">
        <v>-0.483466666666666</v>
      </c>
      <c r="H1670">
        <v>0.429520295202952</v>
      </c>
      <c r="I1670">
        <v>0.7489841986455981</v>
      </c>
    </row>
    <row r="1671" spans="1:9">
      <c r="A1671" s="1" t="s">
        <v>1683</v>
      </c>
      <c r="B1671">
        <f>HYPERLINK("https://www.suredividend.com/sure-analysis-research-database/","Treehouse Foods Inc")</f>
        <v>0</v>
      </c>
      <c r="C1671">
        <v>0.09680264608599701</v>
      </c>
      <c r="D1671">
        <v>0.08864084044648701</v>
      </c>
      <c r="E1671">
        <v>0.187395559799474</v>
      </c>
      <c r="F1671">
        <v>0.007290400972053</v>
      </c>
      <c r="G1671">
        <v>0.129940935938209</v>
      </c>
      <c r="H1671">
        <v>0.240708406086305</v>
      </c>
      <c r="I1671">
        <v>0.005864509605662</v>
      </c>
    </row>
    <row r="1672" spans="1:9">
      <c r="A1672" s="1" t="s">
        <v>1684</v>
      </c>
      <c r="B1672">
        <f>HYPERLINK("https://www.suredividend.com/sure-analysis-research-database/","Trean Insurance Group Inc")</f>
        <v>0</v>
      </c>
      <c r="C1672">
        <v>1.02020202020202</v>
      </c>
      <c r="D1672">
        <v>0.9047619047619041</v>
      </c>
      <c r="E1672">
        <v>0.032702237521514</v>
      </c>
      <c r="F1672">
        <v>0</v>
      </c>
      <c r="G1672">
        <v>-0.280575539568345</v>
      </c>
      <c r="H1672">
        <v>-0.5529061102831591</v>
      </c>
      <c r="I1672">
        <v>-0.613152804642166</v>
      </c>
    </row>
    <row r="1673" spans="1:9">
      <c r="A1673" s="1" t="s">
        <v>1685</v>
      </c>
      <c r="B1673">
        <f>HYPERLINK("https://www.suredividend.com/sure-analysis-research-database/","Instil Bio Inc")</f>
        <v>0</v>
      </c>
      <c r="C1673">
        <v>-0.300334168755221</v>
      </c>
      <c r="D1673">
        <v>-0.8643724696356271</v>
      </c>
      <c r="E1673">
        <v>-0.886440677966101</v>
      </c>
      <c r="F1673">
        <v>0.063492063492063</v>
      </c>
      <c r="G1673">
        <v>-0.9534075104311541</v>
      </c>
      <c r="H1673">
        <v>-0.97465960665658</v>
      </c>
      <c r="I1673">
        <v>-0.97465960665658</v>
      </c>
    </row>
    <row r="1674" spans="1:9">
      <c r="A1674" s="1" t="s">
        <v>1686</v>
      </c>
      <c r="B1674">
        <f>HYPERLINK("https://www.suredividend.com/sure-analysis-research-database/","Interface Inc.")</f>
        <v>0</v>
      </c>
      <c r="C1674">
        <v>0.0009624639076030001</v>
      </c>
      <c r="D1674">
        <v>0.008680471364143001</v>
      </c>
      <c r="E1674">
        <v>-0.184748526276182</v>
      </c>
      <c r="F1674">
        <v>0.05369807497467</v>
      </c>
      <c r="G1674">
        <v>-0.317150679894683</v>
      </c>
      <c r="H1674">
        <v>-0.012889386662616</v>
      </c>
      <c r="I1674">
        <v>-0.565926933816378</v>
      </c>
    </row>
    <row r="1675" spans="1:9">
      <c r="A1675" s="1" t="s">
        <v>1687</v>
      </c>
      <c r="B1675">
        <f>HYPERLINK("https://www.suredividend.com/sure-analysis-research-database/","Tiptree Inc")</f>
        <v>0</v>
      </c>
      <c r="C1675">
        <v>-0.028206850235057</v>
      </c>
      <c r="D1675">
        <v>0.377072270123146</v>
      </c>
      <c r="E1675">
        <v>0.308330093400482</v>
      </c>
      <c r="F1675">
        <v>0.045520231213872</v>
      </c>
      <c r="G1675">
        <v>0.094868419061454</v>
      </c>
      <c r="H1675">
        <v>1.976325153752802</v>
      </c>
      <c r="I1675">
        <v>1.178626276009515</v>
      </c>
    </row>
    <row r="1676" spans="1:9">
      <c r="A1676" s="1" t="s">
        <v>1688</v>
      </c>
      <c r="B1676">
        <f>HYPERLINK("https://www.suredividend.com/sure-analysis-research-database/","Team, Inc.")</f>
        <v>0</v>
      </c>
      <c r="C1676">
        <v>0.07019867549668801</v>
      </c>
      <c r="D1676">
        <v>-0.207843137254901</v>
      </c>
      <c r="E1676">
        <v>0.028775146422205</v>
      </c>
      <c r="F1676">
        <v>0.539047619047619</v>
      </c>
      <c r="G1676">
        <v>-0.309401709401709</v>
      </c>
      <c r="H1676">
        <v>-0.926943942133815</v>
      </c>
      <c r="I1676">
        <v>-0.9495</v>
      </c>
    </row>
    <row r="1677" spans="1:9">
      <c r="A1677" s="1" t="s">
        <v>1689</v>
      </c>
      <c r="B1677">
        <f>HYPERLINK("https://www.suredividend.com/sure-analysis-research-database/","Titan Machinery Inc")</f>
        <v>0</v>
      </c>
      <c r="C1677">
        <v>0.02981708844901</v>
      </c>
      <c r="D1677">
        <v>0.373663101604278</v>
      </c>
      <c r="E1677">
        <v>0.798687089715536</v>
      </c>
      <c r="F1677">
        <v>0.034482758620689</v>
      </c>
      <c r="G1677">
        <v>0.228699551569506</v>
      </c>
      <c r="H1677">
        <v>0.9571428571428571</v>
      </c>
      <c r="I1677">
        <v>0.76926388291003</v>
      </c>
    </row>
    <row r="1678" spans="1:9">
      <c r="A1678" s="1" t="s">
        <v>1690</v>
      </c>
      <c r="B1678">
        <f>HYPERLINK("https://www.suredividend.com/sure-analysis-research-database/","Teekay Corp")</f>
        <v>0</v>
      </c>
      <c r="C1678">
        <v>0.073710073710073</v>
      </c>
      <c r="D1678">
        <v>0.277777777777777</v>
      </c>
      <c r="E1678">
        <v>0.571942446043165</v>
      </c>
      <c r="F1678">
        <v>-0.03744493392070401</v>
      </c>
      <c r="G1678">
        <v>0.324242424242424</v>
      </c>
      <c r="H1678">
        <v>0.7410358565737051</v>
      </c>
      <c r="I1678">
        <v>-0.5447821829621451</v>
      </c>
    </row>
    <row r="1679" spans="1:9">
      <c r="A1679" s="1" t="s">
        <v>1691</v>
      </c>
      <c r="B1679">
        <f>HYPERLINK("https://www.suredividend.com/sure-analysis-research-database/","Alpha Teknova Inc")</f>
        <v>0</v>
      </c>
      <c r="C1679">
        <v>0.206593406593406</v>
      </c>
      <c r="D1679">
        <v>0.5207756232686981</v>
      </c>
      <c r="E1679">
        <v>-0.327205882352941</v>
      </c>
      <c r="F1679">
        <v>-0.026595744680851</v>
      </c>
      <c r="G1679">
        <v>-0.6835734870317001</v>
      </c>
      <c r="H1679">
        <v>-0.7804</v>
      </c>
      <c r="I1679">
        <v>-0.7804</v>
      </c>
    </row>
    <row r="1680" spans="1:9">
      <c r="A1680" s="1" t="s">
        <v>1692</v>
      </c>
      <c r="B1680">
        <f>HYPERLINK("https://www.suredividend.com/sure-analysis-research-database/","Talis Biomedical Corp")</f>
        <v>0</v>
      </c>
      <c r="C1680">
        <v>-0.024716981132075</v>
      </c>
      <c r="D1680">
        <v>-0.272074355724545</v>
      </c>
      <c r="E1680">
        <v>-0.416854693140794</v>
      </c>
      <c r="F1680">
        <v>0.159748709894548</v>
      </c>
      <c r="G1680">
        <v>-0.843836858006042</v>
      </c>
      <c r="H1680">
        <v>-0.9814064748201441</v>
      </c>
      <c r="I1680">
        <v>-0.9814064748201441</v>
      </c>
    </row>
    <row r="1681" spans="1:9">
      <c r="A1681" s="1" t="s">
        <v>1693</v>
      </c>
      <c r="B1681">
        <f>HYPERLINK("https://www.suredividend.com/sure-analysis-research-database/","Telos Corp")</f>
        <v>0</v>
      </c>
      <c r="C1681">
        <v>0.1441647597254</v>
      </c>
      <c r="D1681">
        <v>-0.423298731257208</v>
      </c>
      <c r="E1681">
        <v>-0.393203883495145</v>
      </c>
      <c r="F1681">
        <v>-0.017681728880157</v>
      </c>
      <c r="G1681">
        <v>-0.635568513119533</v>
      </c>
      <c r="H1681">
        <v>-0.835904168034131</v>
      </c>
      <c r="I1681">
        <v>-0.7535731887629371</v>
      </c>
    </row>
    <row r="1682" spans="1:9">
      <c r="A1682" s="1" t="s">
        <v>1694</v>
      </c>
      <c r="B1682">
        <f>HYPERLINK("https://www.suredividend.com/sure-analysis-research-database/","Tillys Inc")</f>
        <v>0</v>
      </c>
      <c r="C1682">
        <v>-0.075692963752665</v>
      </c>
      <c r="D1682">
        <v>0.160642570281124</v>
      </c>
      <c r="E1682">
        <v>0.133333333333333</v>
      </c>
      <c r="F1682">
        <v>-0.041988950276243</v>
      </c>
      <c r="G1682">
        <v>-0.444942381562099</v>
      </c>
      <c r="H1682">
        <v>0.062434899822314</v>
      </c>
      <c r="I1682">
        <v>-0.101256375171041</v>
      </c>
    </row>
    <row r="1683" spans="1:9">
      <c r="A1683" s="1" t="s">
        <v>1695</v>
      </c>
      <c r="B1683">
        <f>HYPERLINK("https://www.suredividend.com/sure-analysis-research-database/","Treace Medical Concepts Inc")</f>
        <v>0</v>
      </c>
      <c r="C1683">
        <v>-0.047579298831385</v>
      </c>
      <c r="D1683">
        <v>0.007060900264783</v>
      </c>
      <c r="E1683">
        <v>0.362388059701492</v>
      </c>
      <c r="F1683">
        <v>-0.007394519356241001</v>
      </c>
      <c r="G1683">
        <v>0.294384571752694</v>
      </c>
      <c r="H1683">
        <v>-0.106149627888758</v>
      </c>
      <c r="I1683">
        <v>-0.106149627888758</v>
      </c>
    </row>
    <row r="1684" spans="1:9">
      <c r="A1684" s="1" t="s">
        <v>1696</v>
      </c>
      <c r="B1684">
        <f>HYPERLINK("https://www.suredividend.com/sure-analysis-research-database/","Transmedics Group Inc")</f>
        <v>0</v>
      </c>
      <c r="C1684">
        <v>-0.08792517006802701</v>
      </c>
      <c r="D1684">
        <v>0.299806107610276</v>
      </c>
      <c r="E1684">
        <v>0.6008955223880591</v>
      </c>
      <c r="F1684">
        <v>-0.131075826312378</v>
      </c>
      <c r="G1684">
        <v>2.085730724971232</v>
      </c>
      <c r="H1684">
        <v>1.858742004264392</v>
      </c>
      <c r="I1684">
        <v>1.398479427549195</v>
      </c>
    </row>
    <row r="1685" spans="1:9">
      <c r="A1685" s="1" t="s">
        <v>1697</v>
      </c>
      <c r="B1685">
        <f>HYPERLINK("https://www.suredividend.com/sure-analysis-research-database/","Taylor Morrison Home Corp.")</f>
        <v>0</v>
      </c>
      <c r="C1685">
        <v>0.07550952221850901</v>
      </c>
      <c r="D1685">
        <v>0.253504672897196</v>
      </c>
      <c r="E1685">
        <v>0.269321766561514</v>
      </c>
      <c r="F1685">
        <v>0.060626029654036</v>
      </c>
      <c r="G1685">
        <v>0.043774319066147</v>
      </c>
      <c r="H1685">
        <v>0.3412499999999991</v>
      </c>
      <c r="I1685">
        <v>1.094339622641509</v>
      </c>
    </row>
    <row r="1686" spans="1:9">
      <c r="A1686" s="1" t="s">
        <v>1698</v>
      </c>
      <c r="B1686">
        <f>HYPERLINK("https://www.suredividend.com/sure-analysis-TMP/","Tompkins Financial Corp")</f>
        <v>0</v>
      </c>
      <c r="C1686">
        <v>-0.047625015666123</v>
      </c>
      <c r="D1686">
        <v>0.042185256349594</v>
      </c>
      <c r="E1686">
        <v>0.06428869548654101</v>
      </c>
      <c r="F1686">
        <v>-0.020494972931167</v>
      </c>
      <c r="G1686">
        <v>-0.09311800803412201</v>
      </c>
      <c r="H1686">
        <v>0.057577355959188</v>
      </c>
      <c r="I1686">
        <v>0.08405993928465401</v>
      </c>
    </row>
    <row r="1687" spans="1:9">
      <c r="A1687" s="1" t="s">
        <v>1699</v>
      </c>
      <c r="B1687">
        <f>HYPERLINK("https://www.suredividend.com/sure-analysis-research-database/","TimkenSteel Corp")</f>
        <v>0</v>
      </c>
      <c r="C1687">
        <v>0.038374717832957</v>
      </c>
      <c r="D1687">
        <v>0.135101789019123</v>
      </c>
      <c r="E1687">
        <v>0.05929763960852</v>
      </c>
      <c r="F1687">
        <v>0.012658227848101</v>
      </c>
      <c r="G1687">
        <v>0.07476635514018601</v>
      </c>
      <c r="H1687">
        <v>2.233743409490333</v>
      </c>
      <c r="I1687">
        <v>0.084905660377358</v>
      </c>
    </row>
    <row r="1688" spans="1:9">
      <c r="A1688" s="1" t="s">
        <v>1700</v>
      </c>
      <c r="B1688">
        <f>HYPERLINK("https://www.suredividend.com/sure-analysis-TNC/","Tennant Co.")</f>
        <v>0</v>
      </c>
      <c r="C1688">
        <v>0.045585874799358</v>
      </c>
      <c r="D1688">
        <v>0.154156220377572</v>
      </c>
      <c r="E1688">
        <v>0.110014842231003</v>
      </c>
      <c r="F1688">
        <v>0.05798278382329</v>
      </c>
      <c r="G1688">
        <v>-0.191093836343654</v>
      </c>
      <c r="H1688">
        <v>-0.066202969686717</v>
      </c>
      <c r="I1688">
        <v>-0.05127954920486</v>
      </c>
    </row>
    <row r="1689" spans="1:9">
      <c r="A1689" s="1" t="s">
        <v>1701</v>
      </c>
      <c r="B1689">
        <f>HYPERLINK("https://www.suredividend.com/sure-analysis-research-database/","TriNet Group Inc")</f>
        <v>0</v>
      </c>
      <c r="C1689">
        <v>0.068588322246858</v>
      </c>
      <c r="D1689">
        <v>0.015166409212189</v>
      </c>
      <c r="E1689">
        <v>-0.105764473033151</v>
      </c>
      <c r="F1689">
        <v>0.06622418879056001</v>
      </c>
      <c r="G1689">
        <v>-0.199268941072219</v>
      </c>
      <c r="H1689">
        <v>-0.124182214683789</v>
      </c>
      <c r="I1689">
        <v>0.653098559341413</v>
      </c>
    </row>
    <row r="1690" spans="1:9">
      <c r="A1690" s="1" t="s">
        <v>1702</v>
      </c>
      <c r="B1690">
        <f>HYPERLINK("https://www.suredividend.com/sure-analysis-research-database/","Teekay Tankers Ltd")</f>
        <v>0</v>
      </c>
      <c r="C1690">
        <v>-0.1237721021611</v>
      </c>
      <c r="D1690">
        <v>-0.038793103448275</v>
      </c>
      <c r="E1690">
        <v>0.622801697998787</v>
      </c>
      <c r="F1690">
        <v>-0.131450827653359</v>
      </c>
      <c r="G1690">
        <v>1.285226302305721</v>
      </c>
      <c r="H1690">
        <v>1.213399503722084</v>
      </c>
      <c r="I1690">
        <v>1.601973844134377</v>
      </c>
    </row>
    <row r="1691" spans="1:9">
      <c r="A1691" s="1" t="s">
        <v>1703</v>
      </c>
      <c r="B1691">
        <f>HYPERLINK("https://www.suredividend.com/sure-analysis-research-database/","Tonix Pharmaceuticals Holding Corp")</f>
        <v>0</v>
      </c>
      <c r="C1691">
        <v>1.204301075268817</v>
      </c>
      <c r="D1691">
        <v>0.592542241211885</v>
      </c>
      <c r="E1691">
        <v>-0.5089820359281431</v>
      </c>
      <c r="F1691">
        <v>1.103642893791688</v>
      </c>
      <c r="G1691">
        <v>-0.9242760047281321</v>
      </c>
      <c r="H1691">
        <v>-0.9694212410501191</v>
      </c>
      <c r="I1691">
        <v>-0.9999269943019941</v>
      </c>
    </row>
    <row r="1692" spans="1:9">
      <c r="A1692" s="1" t="s">
        <v>1704</v>
      </c>
      <c r="B1692">
        <f>HYPERLINK("https://www.suredividend.com/sure-analysis-research-database/","Tenaya Therapeutics Inc")</f>
        <v>0</v>
      </c>
      <c r="C1692">
        <v>-0.06132075471698101</v>
      </c>
      <c r="D1692">
        <v>-0.304195804195804</v>
      </c>
      <c r="E1692">
        <v>-0.6496478873239431</v>
      </c>
      <c r="F1692">
        <v>-0.009950248756218001</v>
      </c>
      <c r="G1692">
        <v>-0.8531365313653131</v>
      </c>
      <c r="H1692">
        <v>-0.8703583061889251</v>
      </c>
      <c r="I1692">
        <v>-0.8703583061889251</v>
      </c>
    </row>
    <row r="1693" spans="1:9">
      <c r="A1693" s="1" t="s">
        <v>1705</v>
      </c>
      <c r="B1693">
        <f>HYPERLINK("https://www.suredividend.com/sure-analysis-research-database/","Townebank Portsmouth VA")</f>
        <v>0</v>
      </c>
      <c r="C1693">
        <v>-0.041530514441889</v>
      </c>
      <c r="D1693">
        <v>0.119853938522606</v>
      </c>
      <c r="E1693">
        <v>0.116523815489833</v>
      </c>
      <c r="F1693">
        <v>-0.017509727626459</v>
      </c>
      <c r="G1693">
        <v>-0.062827662358148</v>
      </c>
      <c r="H1693">
        <v>0.275526312466059</v>
      </c>
      <c r="I1693">
        <v>0.093491739265375</v>
      </c>
    </row>
    <row r="1694" spans="1:9">
      <c r="A1694" s="1" t="s">
        <v>1706</v>
      </c>
      <c r="B1694">
        <f>HYPERLINK("https://www.suredividend.com/sure-analysis-research-database/","Turning Point Brands Inc")</f>
        <v>0</v>
      </c>
      <c r="C1694">
        <v>0.009507606555219001</v>
      </c>
      <c r="D1694">
        <v>0.014260081216356</v>
      </c>
      <c r="E1694">
        <v>-0.208816466046881</v>
      </c>
      <c r="F1694">
        <v>-0.006934812760055</v>
      </c>
      <c r="G1694">
        <v>-0.417102663743134</v>
      </c>
      <c r="H1694">
        <v>-0.521131093707154</v>
      </c>
      <c r="I1694">
        <v>0.050187009558266</v>
      </c>
    </row>
    <row r="1695" spans="1:9">
      <c r="A1695" s="1" t="s">
        <v>1707</v>
      </c>
      <c r="B1695">
        <f>HYPERLINK("https://www.suredividend.com/sure-analysis-research-database/","Tutor Perini Corp")</f>
        <v>0</v>
      </c>
      <c r="C1695">
        <v>0.04641909814323501</v>
      </c>
      <c r="D1695">
        <v>0.372173913043478</v>
      </c>
      <c r="E1695">
        <v>-0.09101382488479201</v>
      </c>
      <c r="F1695">
        <v>0.045033112582781</v>
      </c>
      <c r="G1695">
        <v>-0.351684470008216</v>
      </c>
      <c r="H1695">
        <v>-0.535882352941176</v>
      </c>
      <c r="I1695">
        <v>-0.6935922330097081</v>
      </c>
    </row>
    <row r="1696" spans="1:9">
      <c r="A1696" s="1" t="s">
        <v>1708</v>
      </c>
      <c r="B1696">
        <f>HYPERLINK("https://www.suredividend.com/sure-analysis-research-database/","Tri Pointe Homes Inc.")</f>
        <v>0</v>
      </c>
      <c r="C1696">
        <v>0.09354485776805201</v>
      </c>
      <c r="D1696">
        <v>0.245482866043613</v>
      </c>
      <c r="E1696">
        <v>0.071275455519828</v>
      </c>
      <c r="F1696">
        <v>0.075309306078536</v>
      </c>
      <c r="G1696">
        <v>-0.211750788643533</v>
      </c>
      <c r="H1696">
        <v>0.171746776084408</v>
      </c>
      <c r="I1696">
        <v>0.033074935400516</v>
      </c>
    </row>
    <row r="1697" spans="1:9">
      <c r="A1697" s="1" t="s">
        <v>1709</v>
      </c>
      <c r="B1697">
        <f>HYPERLINK("https://www.suredividend.com/sure-analysis-research-database/","TPI Composites Inc")</f>
        <v>0</v>
      </c>
      <c r="C1697">
        <v>0.255511022044088</v>
      </c>
      <c r="D1697">
        <v>0.210628019323671</v>
      </c>
      <c r="E1697">
        <v>-0.06282722513089001</v>
      </c>
      <c r="F1697">
        <v>0.235700197238658</v>
      </c>
      <c r="G1697">
        <v>-0.105638829407566</v>
      </c>
      <c r="H1697">
        <v>-0.805916976456009</v>
      </c>
      <c r="I1697">
        <v>-0.3836694540088531</v>
      </c>
    </row>
    <row r="1698" spans="1:9">
      <c r="A1698" s="1" t="s">
        <v>1710</v>
      </c>
      <c r="B1698">
        <f>HYPERLINK("https://www.suredividend.com/sure-analysis-research-database/","Turning Point Therapeutics Inc")</f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</row>
    <row r="1699" spans="1:9">
      <c r="A1699" s="1" t="s">
        <v>1711</v>
      </c>
      <c r="B1699">
        <f>HYPERLINK("https://www.suredividend.com/sure-analysis-TR/","Tootsie Roll Industries, Inc.")</f>
        <v>0</v>
      </c>
      <c r="C1699">
        <v>0.024707953707098</v>
      </c>
      <c r="D1699">
        <v>0.358915028795913</v>
      </c>
      <c r="E1699">
        <v>0.292137877503731</v>
      </c>
      <c r="F1699">
        <v>0.06365985435752801</v>
      </c>
      <c r="G1699">
        <v>0.295709678619359</v>
      </c>
      <c r="H1699">
        <v>0.610917810461004</v>
      </c>
      <c r="I1699">
        <v>0.458039503596798</v>
      </c>
    </row>
    <row r="1700" spans="1:9">
      <c r="A1700" s="1" t="s">
        <v>1712</v>
      </c>
      <c r="B1700">
        <f>HYPERLINK("https://www.suredividend.com/sure-analysis-research-database/","Tejon Ranch Co.")</f>
        <v>0</v>
      </c>
      <c r="C1700">
        <v>0.03806970509383301</v>
      </c>
      <c r="D1700">
        <v>0.334252239834596</v>
      </c>
      <c r="E1700">
        <v>0.235481812380344</v>
      </c>
      <c r="F1700">
        <v>0.0276008492569</v>
      </c>
      <c r="G1700">
        <v>0.066666666666666</v>
      </c>
      <c r="H1700">
        <v>0.290666666666666</v>
      </c>
      <c r="I1700">
        <v>-0.05744888023369001</v>
      </c>
    </row>
    <row r="1701" spans="1:9">
      <c r="A1701" s="1" t="s">
        <v>1713</v>
      </c>
      <c r="B1701">
        <f>HYPERLINK("https://www.suredividend.com/sure-analysis-research-database/","Entrada Therapeutics Inc")</f>
        <v>0</v>
      </c>
      <c r="C1701">
        <v>-0.201363398007341</v>
      </c>
      <c r="D1701">
        <v>0.028359216745442</v>
      </c>
      <c r="E1701">
        <v>0.293967714528462</v>
      </c>
      <c r="F1701">
        <v>0.126479289940828</v>
      </c>
      <c r="G1701">
        <v>0.286317567567567</v>
      </c>
      <c r="H1701">
        <v>-0.364091858037578</v>
      </c>
      <c r="I1701">
        <v>-0.364091858037578</v>
      </c>
    </row>
    <row r="1702" spans="1:9">
      <c r="A1702" s="1" t="s">
        <v>1714</v>
      </c>
      <c r="B1702">
        <f>HYPERLINK("https://www.suredividend.com/sure-analysis-research-database/","LendingTree Inc.")</f>
        <v>0</v>
      </c>
      <c r="C1702">
        <v>0.167935299714557</v>
      </c>
      <c r="D1702">
        <v>0.08149779735682801</v>
      </c>
      <c r="E1702">
        <v>-0.4767689684569481</v>
      </c>
      <c r="F1702">
        <v>0.150961087669948</v>
      </c>
      <c r="G1702">
        <v>-0.8114584133323091</v>
      </c>
      <c r="H1702">
        <v>-0.9073305148724141</v>
      </c>
      <c r="I1702">
        <v>-0.93191902384914</v>
      </c>
    </row>
    <row r="1703" spans="1:9">
      <c r="A1703" s="1" t="s">
        <v>1715</v>
      </c>
      <c r="B1703">
        <f>HYPERLINK("https://www.suredividend.com/sure-analysis-research-database/","Tabula Rasa HealthCare Inc")</f>
        <v>0</v>
      </c>
      <c r="C1703">
        <v>0.111368909512761</v>
      </c>
      <c r="D1703">
        <v>0.058563535911602</v>
      </c>
      <c r="E1703">
        <v>0.8423076923076921</v>
      </c>
      <c r="F1703">
        <v>-0.032323232323232</v>
      </c>
      <c r="G1703">
        <v>-0.673260572987721</v>
      </c>
      <c r="H1703">
        <v>-0.8951171447339611</v>
      </c>
      <c r="I1703">
        <v>-0.8555052790346901</v>
      </c>
    </row>
    <row r="1704" spans="1:9">
      <c r="A1704" s="1" t="s">
        <v>1716</v>
      </c>
      <c r="B1704">
        <f>HYPERLINK("https://www.suredividend.com/sure-analysis-research-database/","Trustmark Corp.")</f>
        <v>0</v>
      </c>
      <c r="C1704">
        <v>-0.008278618327148001</v>
      </c>
      <c r="D1704">
        <v>0.106735988989983</v>
      </c>
      <c r="E1704">
        <v>0.16183405237283</v>
      </c>
      <c r="F1704">
        <v>-0.004869664852477001</v>
      </c>
      <c r="G1704">
        <v>0.012255459011521</v>
      </c>
      <c r="H1704">
        <v>0.225530834059456</v>
      </c>
      <c r="I1704">
        <v>0.228768896654664</v>
      </c>
    </row>
    <row r="1705" spans="1:9">
      <c r="A1705" s="1" t="s">
        <v>1717</v>
      </c>
      <c r="B1705">
        <f>HYPERLINK("https://www.suredividend.com/sure-analysis-TRN/","Trinity Industries, Inc.")</f>
        <v>0</v>
      </c>
      <c r="C1705">
        <v>-0.103065005052206</v>
      </c>
      <c r="D1705">
        <v>0.149782607757038</v>
      </c>
      <c r="E1705">
        <v>0.213914200927187</v>
      </c>
      <c r="F1705">
        <v>-0.09942509299966101</v>
      </c>
      <c r="G1705">
        <v>-0.114576406437026</v>
      </c>
      <c r="H1705">
        <v>0.011758895157766</v>
      </c>
      <c r="I1705">
        <v>0.195575070261921</v>
      </c>
    </row>
    <row r="1706" spans="1:9">
      <c r="A1706" s="1" t="s">
        <v>1718</v>
      </c>
      <c r="B1706">
        <f>HYPERLINK("https://www.suredividend.com/sure-analysis-research-database/","Terreno Realty Corp")</f>
        <v>0</v>
      </c>
      <c r="C1706">
        <v>0.031375414297362</v>
      </c>
      <c r="D1706">
        <v>0.14827571978457</v>
      </c>
      <c r="E1706">
        <v>0.050674740297798</v>
      </c>
      <c r="F1706">
        <v>0.027606822577809</v>
      </c>
      <c r="G1706">
        <v>-0.234776050218803</v>
      </c>
      <c r="H1706">
        <v>0.08631602427667201</v>
      </c>
      <c r="I1706">
        <v>0.8910601780392381</v>
      </c>
    </row>
    <row r="1707" spans="1:9">
      <c r="A1707" s="1" t="s">
        <v>1719</v>
      </c>
      <c r="B1707">
        <f>HYPERLINK("https://www.suredividend.com/sure-analysis-research-database/","Transcat Inc")</f>
        <v>0</v>
      </c>
      <c r="C1707">
        <v>0.037974683544304</v>
      </c>
      <c r="D1707">
        <v>0.09287317620650901</v>
      </c>
      <c r="E1707">
        <v>0.374382498235709</v>
      </c>
      <c r="F1707">
        <v>0.099195710455764</v>
      </c>
      <c r="G1707">
        <v>-0.112351868732907</v>
      </c>
      <c r="H1707">
        <v>1.250144425187753</v>
      </c>
      <c r="I1707">
        <v>4.665454545454546</v>
      </c>
    </row>
    <row r="1708" spans="1:9">
      <c r="A1708" s="1" t="s">
        <v>1720</v>
      </c>
      <c r="B1708">
        <f>HYPERLINK("https://www.suredividend.com/sure-analysis-research-database/","Tronox Holdings plc")</f>
        <v>0</v>
      </c>
      <c r="C1708">
        <v>0.128223495702005</v>
      </c>
      <c r="D1708">
        <v>0.324419778002018</v>
      </c>
      <c r="E1708">
        <v>0.025490770583064</v>
      </c>
      <c r="F1708">
        <v>0.148796498905908</v>
      </c>
      <c r="G1708">
        <v>-0.321787209122069</v>
      </c>
      <c r="H1708">
        <v>0.137175904867112</v>
      </c>
      <c r="I1708">
        <v>-0.152104396136826</v>
      </c>
    </row>
    <row r="1709" spans="1:9">
      <c r="A1709" s="1" t="s">
        <v>1721</v>
      </c>
      <c r="B1709">
        <f>HYPERLINK("https://www.suredividend.com/sure-analysis-research-database/","Trimas Corporation")</f>
        <v>0</v>
      </c>
      <c r="C1709">
        <v>0.04197080291970801</v>
      </c>
      <c r="D1709">
        <v>0.107104079416783</v>
      </c>
      <c r="E1709">
        <v>0.06970906161599101</v>
      </c>
      <c r="F1709">
        <v>0.029199711607786</v>
      </c>
      <c r="G1709">
        <v>-0.197325731122394</v>
      </c>
      <c r="H1709">
        <v>-0.117140462797752</v>
      </c>
      <c r="I1709">
        <v>0.074613158082935</v>
      </c>
    </row>
    <row r="1710" spans="1:9">
      <c r="A1710" s="1" t="s">
        <v>1722</v>
      </c>
      <c r="B1710">
        <f>HYPERLINK("https://www.suredividend.com/sure-analysis-TRST/","Trustco Bank Corp.")</f>
        <v>0</v>
      </c>
      <c r="C1710">
        <v>-0.016065314722149</v>
      </c>
      <c r="D1710">
        <v>0.184715395592199</v>
      </c>
      <c r="E1710">
        <v>0.223421848035026</v>
      </c>
      <c r="F1710">
        <v>-0.006118648576749</v>
      </c>
      <c r="G1710">
        <v>0.103070350260266</v>
      </c>
      <c r="H1710">
        <v>0.153606254670314</v>
      </c>
      <c r="I1710">
        <v>0.010992103653751</v>
      </c>
    </row>
    <row r="1711" spans="1:9">
      <c r="A1711" s="1" t="s">
        <v>1723</v>
      </c>
      <c r="B1711">
        <f>HYPERLINK("https://www.suredividend.com/sure-analysis-TRTN/","Triton International Ltd")</f>
        <v>0</v>
      </c>
      <c r="C1711">
        <v>0.030713245997088</v>
      </c>
      <c r="D1711">
        <v>0.282845630969462</v>
      </c>
      <c r="E1711">
        <v>0.35660437002481</v>
      </c>
      <c r="F1711">
        <v>0.029514393719104</v>
      </c>
      <c r="G1711">
        <v>0.195325384754326</v>
      </c>
      <c r="H1711">
        <v>0.53310210143892</v>
      </c>
      <c r="I1711">
        <v>1.328020410041951</v>
      </c>
    </row>
    <row r="1712" spans="1:9">
      <c r="A1712" s="1" t="s">
        <v>1724</v>
      </c>
      <c r="B1712">
        <f>HYPERLINK("https://www.suredividend.com/sure-analysis-research-database/","TPG RE Finance Trust Inc")</f>
        <v>0</v>
      </c>
      <c r="C1712">
        <v>-0.011183207651526</v>
      </c>
      <c r="D1712">
        <v>0.06971381871780201</v>
      </c>
      <c r="E1712">
        <v>-0.182220833844677</v>
      </c>
      <c r="F1712">
        <v>0.079528718703976</v>
      </c>
      <c r="G1712">
        <v>-0.356876508006141</v>
      </c>
      <c r="H1712">
        <v>-0.165129046219731</v>
      </c>
      <c r="I1712">
        <v>-0.292641737032569</v>
      </c>
    </row>
    <row r="1713" spans="1:9">
      <c r="A1713" s="1" t="s">
        <v>1725</v>
      </c>
      <c r="B1713">
        <f>HYPERLINK("https://www.suredividend.com/sure-analysis-research-database/","Trupanion Inc")</f>
        <v>0</v>
      </c>
      <c r="C1713">
        <v>-0.08101410598551201</v>
      </c>
      <c r="D1713">
        <v>-0.070740169622205</v>
      </c>
      <c r="E1713">
        <v>-0.2740551121819</v>
      </c>
      <c r="F1713">
        <v>0.014306753629286</v>
      </c>
      <c r="G1713">
        <v>-0.557787561915244</v>
      </c>
      <c r="H1713">
        <v>-0.5843965517241371</v>
      </c>
      <c r="I1713">
        <v>0.510811657787527</v>
      </c>
    </row>
    <row r="1714" spans="1:9">
      <c r="A1714" s="1" t="s">
        <v>1726</v>
      </c>
      <c r="B1714">
        <f>HYPERLINK("https://www.suredividend.com/sure-analysis-research-database/","Trevena Inc")</f>
        <v>0</v>
      </c>
      <c r="C1714">
        <v>-0.19090909090909</v>
      </c>
      <c r="D1714">
        <v>-0.601120448179271</v>
      </c>
      <c r="E1714">
        <v>-0.812631578947368</v>
      </c>
      <c r="F1714">
        <v>0.244755244755244</v>
      </c>
      <c r="G1714">
        <v>-0.8852538275584201</v>
      </c>
      <c r="H1714">
        <v>-0.970333333333333</v>
      </c>
      <c r="I1714">
        <v>-0.9593142857142851</v>
      </c>
    </row>
    <row r="1715" spans="1:9">
      <c r="A1715" s="1" t="s">
        <v>1727</v>
      </c>
      <c r="B1715">
        <f>HYPERLINK("https://www.suredividend.com/sure-analysis-research-database/","Telesat Corp")</f>
        <v>0</v>
      </c>
      <c r="C1715">
        <v>0.288590604026845</v>
      </c>
      <c r="D1715">
        <v>0.316872427983539</v>
      </c>
      <c r="E1715">
        <v>-0.173838209982788</v>
      </c>
      <c r="F1715">
        <v>0.28</v>
      </c>
      <c r="G1715">
        <v>-0.665271966527196</v>
      </c>
      <c r="H1715">
        <v>-0.7569620253164551</v>
      </c>
      <c r="I1715">
        <v>-0.7569620253164551</v>
      </c>
    </row>
    <row r="1716" spans="1:9">
      <c r="A1716" s="1" t="s">
        <v>1728</v>
      </c>
      <c r="B1716">
        <f>HYPERLINK("https://www.suredividend.com/sure-analysis-research-database/","Tristate Capital Holdings Inc")</f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</row>
    <row r="1717" spans="1:9">
      <c r="A1717" s="1" t="s">
        <v>1729</v>
      </c>
      <c r="B1717">
        <f>HYPERLINK("https://www.suredividend.com/sure-analysis-research-database/","Trinseo PLC")</f>
        <v>0</v>
      </c>
      <c r="C1717">
        <v>0.10441249720891</v>
      </c>
      <c r="D1717">
        <v>0.405671875085395</v>
      </c>
      <c r="E1717">
        <v>-0.3392726861699391</v>
      </c>
      <c r="F1717">
        <v>0.148183530798282</v>
      </c>
      <c r="G1717">
        <v>-0.529160213671928</v>
      </c>
      <c r="H1717">
        <v>-0.5109977964480791</v>
      </c>
      <c r="I1717">
        <v>-0.5109977964480791</v>
      </c>
    </row>
    <row r="1718" spans="1:9">
      <c r="A1718" s="1" t="s">
        <v>1730</v>
      </c>
      <c r="B1718">
        <f>HYPERLINK("https://www.suredividend.com/sure-analysis-research-database/","Taysha Gene Therapies Inc")</f>
        <v>0</v>
      </c>
      <c r="C1718">
        <v>-0.108597285067873</v>
      </c>
      <c r="D1718">
        <v>0.09444444444444401</v>
      </c>
      <c r="E1718">
        <v>-0.554298642533936</v>
      </c>
      <c r="F1718">
        <v>-0.128318584070796</v>
      </c>
      <c r="G1718">
        <v>-0.8172541743970311</v>
      </c>
      <c r="H1718">
        <v>-0.9275735294117641</v>
      </c>
      <c r="I1718">
        <v>-0.9181213632585201</v>
      </c>
    </row>
    <row r="1719" spans="1:9">
      <c r="A1719" s="1" t="s">
        <v>1731</v>
      </c>
      <c r="B1719">
        <f>HYPERLINK("https://www.suredividend.com/sure-analysis-research-database/","2seventy bio Inc")</f>
        <v>0</v>
      </c>
      <c r="C1719">
        <v>-0.240618101545253</v>
      </c>
      <c r="D1719">
        <v>-0.265480427046263</v>
      </c>
      <c r="E1719">
        <v>-0.305985205110961</v>
      </c>
      <c r="F1719">
        <v>0.101387406616862</v>
      </c>
      <c r="G1719">
        <v>-0.56802009208874</v>
      </c>
      <c r="H1719">
        <v>-0.69303985722784</v>
      </c>
      <c r="I1719">
        <v>-0.69303985722784</v>
      </c>
    </row>
    <row r="1720" spans="1:9">
      <c r="A1720" s="1" t="s">
        <v>1732</v>
      </c>
      <c r="B1720">
        <f>HYPERLINK("https://www.suredividend.com/sure-analysis-research-database/","Tattooed Chef Inc")</f>
        <v>0</v>
      </c>
      <c r="C1720">
        <v>0.143999999999999</v>
      </c>
      <c r="D1720">
        <v>-0.6857142857142851</v>
      </c>
      <c r="E1720">
        <v>-0.787833827893175</v>
      </c>
      <c r="F1720">
        <v>0.16260162601626</v>
      </c>
      <c r="G1720">
        <v>-0.901718213058419</v>
      </c>
      <c r="H1720">
        <v>-0.9397894736842101</v>
      </c>
      <c r="I1720">
        <v>-0.8505747126436781</v>
      </c>
    </row>
    <row r="1721" spans="1:9">
      <c r="A1721" s="1" t="s">
        <v>1733</v>
      </c>
      <c r="B1721">
        <f>HYPERLINK("https://www.suredividend.com/sure-analysis-research-database/","TTEC Holdings Inc")</f>
        <v>0</v>
      </c>
      <c r="C1721">
        <v>-0.014584240313452</v>
      </c>
      <c r="D1721">
        <v>-0.004398504508467</v>
      </c>
      <c r="E1721">
        <v>-0.321394147530441</v>
      </c>
      <c r="F1721">
        <v>0.025832766825288</v>
      </c>
      <c r="G1721">
        <v>-0.466354518834962</v>
      </c>
      <c r="H1721">
        <v>-0.392225806841386</v>
      </c>
      <c r="I1721">
        <v>0.257489520920658</v>
      </c>
    </row>
    <row r="1722" spans="1:9">
      <c r="A1722" s="1" t="s">
        <v>1734</v>
      </c>
      <c r="B1722">
        <f>HYPERLINK("https://www.suredividend.com/sure-analysis-research-database/","Tetra Tech, Inc.")</f>
        <v>0</v>
      </c>
      <c r="C1722">
        <v>-0.08495177698507</v>
      </c>
      <c r="D1722">
        <v>0.104496605658352</v>
      </c>
      <c r="E1722">
        <v>-0.001128525741563</v>
      </c>
      <c r="F1722">
        <v>-0.045939803016736</v>
      </c>
      <c r="G1722">
        <v>-0.08856908241040901</v>
      </c>
      <c r="H1722">
        <v>0.060394731402902</v>
      </c>
      <c r="I1722">
        <v>1.973042582417582</v>
      </c>
    </row>
    <row r="1723" spans="1:9">
      <c r="A1723" s="1" t="s">
        <v>1735</v>
      </c>
      <c r="B1723">
        <f>HYPERLINK("https://www.suredividend.com/sure-analysis-research-database/","Techtarget Inc.")</f>
        <v>0</v>
      </c>
      <c r="C1723">
        <v>0.07173095014111</v>
      </c>
      <c r="D1723">
        <v>-0.305441243712848</v>
      </c>
      <c r="E1723">
        <v>-0.315663012464334</v>
      </c>
      <c r="F1723">
        <v>0.034271448025419</v>
      </c>
      <c r="G1723">
        <v>-0.459109792284866</v>
      </c>
      <c r="H1723">
        <v>-0.313911472448057</v>
      </c>
      <c r="I1723">
        <v>2.218220338983051</v>
      </c>
    </row>
    <row r="1724" spans="1:9">
      <c r="A1724" s="1" t="s">
        <v>1736</v>
      </c>
      <c r="B1724">
        <f>HYPERLINK("https://www.suredividend.com/sure-analysis-research-database/","Tetra Technologies, Inc.")</f>
        <v>0</v>
      </c>
      <c r="C1724">
        <v>0.06176470588235201</v>
      </c>
      <c r="D1724">
        <v>-0.125907990314769</v>
      </c>
      <c r="E1724">
        <v>-0.09523809523809501</v>
      </c>
      <c r="F1724">
        <v>0.043352601156069</v>
      </c>
      <c r="G1724">
        <v>0.168284789644012</v>
      </c>
      <c r="H1724">
        <v>2.438095238095238</v>
      </c>
      <c r="I1724">
        <v>-0.136363636363636</v>
      </c>
    </row>
    <row r="1725" spans="1:9">
      <c r="A1725" s="1" t="s">
        <v>1737</v>
      </c>
      <c r="B1725">
        <f>HYPERLINK("https://www.suredividend.com/sure-analysis-research-database/","TTM Technologies Inc")</f>
        <v>0</v>
      </c>
      <c r="C1725">
        <v>-0.000621504039776</v>
      </c>
      <c r="D1725">
        <v>0.166062364031907</v>
      </c>
      <c r="E1725">
        <v>0.338884263114071</v>
      </c>
      <c r="F1725">
        <v>0.06631299734748</v>
      </c>
      <c r="G1725">
        <v>0.036082474226804</v>
      </c>
      <c r="H1725">
        <v>0.133192389006342</v>
      </c>
      <c r="I1725">
        <v>-0.030741410488246</v>
      </c>
    </row>
    <row r="1726" spans="1:9">
      <c r="A1726" s="1" t="s">
        <v>1738</v>
      </c>
      <c r="B1726">
        <f>HYPERLINK("https://www.suredividend.com/sure-analysis-research-database/","Tupperware Brands Corporation")</f>
        <v>0</v>
      </c>
      <c r="C1726">
        <v>0.166259168704156</v>
      </c>
      <c r="D1726">
        <v>-0.263888888888888</v>
      </c>
      <c r="E1726">
        <v>-0.332867132867133</v>
      </c>
      <c r="F1726">
        <v>0.152173913043478</v>
      </c>
      <c r="G1726">
        <v>-0.6928525434642621</v>
      </c>
      <c r="H1726">
        <v>-0.8720836685438451</v>
      </c>
      <c r="I1726">
        <v>-0.91601728248124</v>
      </c>
    </row>
    <row r="1727" spans="1:9">
      <c r="A1727" s="1" t="s">
        <v>1739</v>
      </c>
      <c r="B1727">
        <f>HYPERLINK("https://www.suredividend.com/sure-analysis-research-database/","Travere Therapeutics Inc")</f>
        <v>0</v>
      </c>
      <c r="C1727">
        <v>0.048051254671649</v>
      </c>
      <c r="D1727">
        <v>-0.205263157894736</v>
      </c>
      <c r="E1727">
        <v>-0.219793322734499</v>
      </c>
      <c r="F1727">
        <v>-0.066571564431764</v>
      </c>
      <c r="G1727">
        <v>-0.294646065397053</v>
      </c>
      <c r="H1727">
        <v>-0.272693590218599</v>
      </c>
      <c r="I1727">
        <v>-0.157148990983254</v>
      </c>
    </row>
    <row r="1728" spans="1:9">
      <c r="A1728" s="1" t="s">
        <v>1740</v>
      </c>
      <c r="B1728">
        <f>HYPERLINK("https://www.suredividend.com/sure-analysis-research-database/","Tivity Health Inc")</f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</row>
    <row r="1729" spans="1:9">
      <c r="A1729" s="1" t="s">
        <v>1741</v>
      </c>
      <c r="B1729">
        <f>HYPERLINK("https://www.suredividend.com/sure-analysis-research-database/","Titan International, Inc.")</f>
        <v>0</v>
      </c>
      <c r="C1729">
        <v>0.164810690423162</v>
      </c>
      <c r="D1729">
        <v>0.226739640344018</v>
      </c>
      <c r="E1729">
        <v>0.11434659090909</v>
      </c>
      <c r="F1729">
        <v>0.024151436031331</v>
      </c>
      <c r="G1729">
        <v>0.418625678119348</v>
      </c>
      <c r="H1729">
        <v>1.474763406940063</v>
      </c>
      <c r="I1729">
        <v>0.188654373551114</v>
      </c>
    </row>
    <row r="1730" spans="1:9">
      <c r="A1730" s="1" t="s">
        <v>1742</v>
      </c>
      <c r="B1730">
        <f>HYPERLINK("https://www.suredividend.com/sure-analysis-research-database/","Hostess Brands Inc")</f>
        <v>0</v>
      </c>
      <c r="C1730">
        <v>-0.06401944894651501</v>
      </c>
      <c r="D1730">
        <v>-0.019108280254777</v>
      </c>
      <c r="E1730">
        <v>0.082474226804123</v>
      </c>
      <c r="F1730">
        <v>0.029411764705882</v>
      </c>
      <c r="G1730">
        <v>0.134577603143418</v>
      </c>
      <c r="H1730">
        <v>0.5703602991162471</v>
      </c>
      <c r="I1730">
        <v>0.5461847389558231</v>
      </c>
    </row>
    <row r="1731" spans="1:9">
      <c r="A1731" s="1" t="s">
        <v>1743</v>
      </c>
      <c r="B1731">
        <f>HYPERLINK("https://www.suredividend.com/sure-analysis-TWO/","Two Harbors Investment Corp")</f>
        <v>0</v>
      </c>
      <c r="C1731">
        <v>0.04488443334125301</v>
      </c>
      <c r="D1731">
        <v>0.324120643911649</v>
      </c>
      <c r="E1731">
        <v>-0.07660175825922101</v>
      </c>
      <c r="F1731">
        <v>0.071388590732192</v>
      </c>
      <c r="G1731">
        <v>-0.183413302282628</v>
      </c>
      <c r="H1731">
        <v>-0.1877022007429</v>
      </c>
      <c r="I1731">
        <v>-0.530172077725189</v>
      </c>
    </row>
    <row r="1732" spans="1:9">
      <c r="A1732" s="1" t="s">
        <v>1744</v>
      </c>
      <c r="B1732">
        <f>HYPERLINK("https://www.suredividend.com/sure-analysis-research-database/","2U Inc")</f>
        <v>0</v>
      </c>
      <c r="C1732">
        <v>0.065028901734104</v>
      </c>
      <c r="D1732">
        <v>0.335144927536232</v>
      </c>
      <c r="E1732">
        <v>-0.406602254428341</v>
      </c>
      <c r="F1732">
        <v>0.175438596491228</v>
      </c>
      <c r="G1732">
        <v>-0.608603292618162</v>
      </c>
      <c r="H1732">
        <v>-0.83270911360799</v>
      </c>
      <c r="I1732">
        <v>-0.886440677966101</v>
      </c>
    </row>
    <row r="1733" spans="1:9">
      <c r="A1733" s="1" t="s">
        <v>1745</v>
      </c>
      <c r="B1733">
        <f>HYPERLINK("https://www.suredividend.com/sure-analysis-research-database/","Twist Bioscience Corp")</f>
        <v>0</v>
      </c>
      <c r="C1733">
        <v>0.009418509418509</v>
      </c>
      <c r="D1733">
        <v>-0.245254133496631</v>
      </c>
      <c r="E1733">
        <v>-0.416844097468653</v>
      </c>
      <c r="F1733">
        <v>0.03527929441411101</v>
      </c>
      <c r="G1733">
        <v>-0.6306562780940961</v>
      </c>
      <c r="H1733">
        <v>-0.851960843192601</v>
      </c>
      <c r="I1733">
        <v>0.760714285714285</v>
      </c>
    </row>
    <row r="1734" spans="1:9">
      <c r="A1734" s="1" t="s">
        <v>1746</v>
      </c>
      <c r="B1734">
        <f>HYPERLINK("https://www.suredividend.com/sure-analysis-research-database/","TherapeuticsMD Inc")</f>
        <v>0</v>
      </c>
      <c r="C1734">
        <v>-0.169781931464174</v>
      </c>
      <c r="D1734">
        <v>-0.160629921259842</v>
      </c>
      <c r="E1734">
        <v>-0.437763713080168</v>
      </c>
      <c r="F1734">
        <v>-0.046511627906976</v>
      </c>
      <c r="G1734">
        <v>-0.7215256008359451</v>
      </c>
      <c r="H1734">
        <v>-0.91984962406015</v>
      </c>
      <c r="I1734">
        <v>-0.9833176838810641</v>
      </c>
    </row>
    <row r="1735" spans="1:9">
      <c r="A1735" s="1" t="s">
        <v>1747</v>
      </c>
      <c r="B1735">
        <f>HYPERLINK("https://www.suredividend.com/sure-analysis-research-database/","Texas Roadhouse Inc")</f>
        <v>0</v>
      </c>
      <c r="C1735">
        <v>-0.007452782031648001</v>
      </c>
      <c r="D1735">
        <v>0.11947087095801</v>
      </c>
      <c r="E1735">
        <v>0.246301604475507</v>
      </c>
      <c r="F1735">
        <v>0.06893897746014201</v>
      </c>
      <c r="G1735">
        <v>0.096017045646708</v>
      </c>
      <c r="H1735">
        <v>0.242828361338092</v>
      </c>
      <c r="I1735">
        <v>0.8441868846861541</v>
      </c>
    </row>
    <row r="1736" spans="1:9">
      <c r="A1736" s="1" t="s">
        <v>1748</v>
      </c>
      <c r="B1736">
        <f>HYPERLINK("https://www.suredividend.com/sure-analysis-research-database/","Tyra Biosciences Inc")</f>
        <v>0</v>
      </c>
      <c r="C1736">
        <v>0.06212121212121201</v>
      </c>
      <c r="D1736">
        <v>0.121599999999999</v>
      </c>
      <c r="E1736">
        <v>-0.33301617507136</v>
      </c>
      <c r="F1736">
        <v>-0.07763157894736801</v>
      </c>
      <c r="G1736">
        <v>-0.418257261410788</v>
      </c>
      <c r="H1736">
        <v>-0.7303846153846151</v>
      </c>
      <c r="I1736">
        <v>-0.7303846153846151</v>
      </c>
    </row>
    <row r="1737" spans="1:9">
      <c r="A1737" s="1" t="s">
        <v>1749</v>
      </c>
      <c r="B1737">
        <f>HYPERLINK("https://www.suredividend.com/sure-analysis-research-database/","AgEagle Aerial Systems Inc.")</f>
        <v>0</v>
      </c>
      <c r="C1737">
        <v>-0.035147669026116</v>
      </c>
      <c r="D1737">
        <v>-0.16462383770076</v>
      </c>
      <c r="E1737">
        <v>-0.435043590110047</v>
      </c>
      <c r="F1737">
        <v>0.129428571428571</v>
      </c>
      <c r="G1737">
        <v>-0.738211920529801</v>
      </c>
      <c r="H1737">
        <v>-0.9492554557124511</v>
      </c>
      <c r="I1737">
        <v>0.8050228310502281</v>
      </c>
    </row>
    <row r="1738" spans="1:9">
      <c r="A1738" s="1" t="s">
        <v>1750</v>
      </c>
      <c r="B1738">
        <f>HYPERLINK("https://www.suredividend.com/sure-analysis-UBA/","Urstadt Biddle Properties, Inc.")</f>
        <v>0</v>
      </c>
      <c r="C1738">
        <v>0.00663212321353</v>
      </c>
      <c r="D1738">
        <v>0.143706182381181</v>
      </c>
      <c r="E1738">
        <v>0.158804255695978</v>
      </c>
      <c r="F1738">
        <v>-0.020457048752579</v>
      </c>
      <c r="G1738">
        <v>-0.08735852064402901</v>
      </c>
      <c r="H1738">
        <v>0.3663280678987481</v>
      </c>
      <c r="I1738">
        <v>0.140232403263853</v>
      </c>
    </row>
    <row r="1739" spans="1:9">
      <c r="A1739" s="1" t="s">
        <v>1751</v>
      </c>
      <c r="B1739">
        <f>HYPERLINK("https://www.suredividend.com/sure-analysis-UBSI/","United Bankshares, Inc.")</f>
        <v>0</v>
      </c>
      <c r="C1739">
        <v>-0.031455742501828</v>
      </c>
      <c r="D1739">
        <v>0.08038417286146701</v>
      </c>
      <c r="E1739">
        <v>0.135707300893812</v>
      </c>
      <c r="F1739">
        <v>-0.019017041244751</v>
      </c>
      <c r="G1739">
        <v>0.06212864271083401</v>
      </c>
      <c r="H1739">
        <v>0.223350847906566</v>
      </c>
      <c r="I1739">
        <v>0.388510183107158</v>
      </c>
    </row>
    <row r="1740" spans="1:9">
      <c r="A1740" s="1" t="s">
        <v>1752</v>
      </c>
      <c r="B1740">
        <f>HYPERLINK("https://www.suredividend.com/sure-analysis-research-database/","United Community Banks Inc")</f>
        <v>0</v>
      </c>
      <c r="C1740">
        <v>-0.041247910357531</v>
      </c>
      <c r="D1740">
        <v>-0.023064131299255</v>
      </c>
      <c r="E1740">
        <v>0.108664187652408</v>
      </c>
      <c r="F1740">
        <v>-0.000591715976331</v>
      </c>
      <c r="G1740">
        <v>-0.097375495000561</v>
      </c>
      <c r="H1740">
        <v>0.146059867887592</v>
      </c>
      <c r="I1740">
        <v>0.295652774261846</v>
      </c>
    </row>
    <row r="1741" spans="1:9">
      <c r="A1741" s="1" t="s">
        <v>1753</v>
      </c>
      <c r="B1741">
        <f>HYPERLINK("https://www.suredividend.com/sure-analysis-research-database/","Ultra Clean Hldgs Inc")</f>
        <v>0</v>
      </c>
      <c r="C1741">
        <v>-0.074643556052558</v>
      </c>
      <c r="D1741">
        <v>0.191075926592299</v>
      </c>
      <c r="E1741">
        <v>0.108135252761968</v>
      </c>
      <c r="F1741">
        <v>-0.001508295625942</v>
      </c>
      <c r="G1741">
        <v>-0.387037037037036</v>
      </c>
      <c r="H1741">
        <v>-0.08664459161147901</v>
      </c>
      <c r="I1741">
        <v>0.468500443655723</v>
      </c>
    </row>
    <row r="1742" spans="1:9">
      <c r="A1742" s="1" t="s">
        <v>1754</v>
      </c>
      <c r="B1742">
        <f>HYPERLINK("https://www.suredividend.com/sure-analysis-research-database/","Udemy Inc")</f>
        <v>0</v>
      </c>
      <c r="C1742">
        <v>-0.07352941176470501</v>
      </c>
      <c r="D1742">
        <v>-0.152466367713004</v>
      </c>
      <c r="E1742">
        <v>0.017953321364452</v>
      </c>
      <c r="F1742">
        <v>0.074881516587677</v>
      </c>
      <c r="G1742">
        <v>-0.228571428571428</v>
      </c>
      <c r="H1742">
        <v>-0.5876363636363631</v>
      </c>
      <c r="I1742">
        <v>-0.5876363636363631</v>
      </c>
    </row>
    <row r="1743" spans="1:9">
      <c r="A1743" s="1" t="s">
        <v>1755</v>
      </c>
      <c r="B1743">
        <f>HYPERLINK("https://www.suredividend.com/sure-analysis-UE/","Urban Edge Properties")</f>
        <v>0</v>
      </c>
      <c r="C1743">
        <v>-0.036242885519566</v>
      </c>
      <c r="D1743">
        <v>0.096567993303401</v>
      </c>
      <c r="E1743">
        <v>-0.005980671463160001</v>
      </c>
      <c r="F1743">
        <v>0.022711142654364</v>
      </c>
      <c r="G1743">
        <v>-0.23172480713147</v>
      </c>
      <c r="H1743">
        <v>0.120354532732078</v>
      </c>
      <c r="I1743">
        <v>-0.267267022948118</v>
      </c>
    </row>
    <row r="1744" spans="1:9">
      <c r="A1744" s="1" t="s">
        <v>1756</v>
      </c>
      <c r="B1744">
        <f>HYPERLINK("https://www.suredividend.com/sure-analysis-research-database/","Uranium Energy Corp")</f>
        <v>0</v>
      </c>
      <c r="C1744">
        <v>0.166666666666666</v>
      </c>
      <c r="D1744">
        <v>-0.017543859649122</v>
      </c>
      <c r="E1744">
        <v>0.146198830409356</v>
      </c>
      <c r="F1744">
        <v>0.010309278350515</v>
      </c>
      <c r="G1744">
        <v>0.010309278350515</v>
      </c>
      <c r="H1744">
        <v>0.950248756218905</v>
      </c>
      <c r="I1744">
        <v>1.177777777777777</v>
      </c>
    </row>
    <row r="1745" spans="1:9">
      <c r="A1745" s="1" t="s">
        <v>1757</v>
      </c>
      <c r="B1745">
        <f>HYPERLINK("https://www.suredividend.com/sure-analysis-research-database/","Universal Electronics Inc.")</f>
        <v>0</v>
      </c>
      <c r="C1745">
        <v>0.05177847816298901</v>
      </c>
      <c r="D1745">
        <v>0.366081871345029</v>
      </c>
      <c r="E1745">
        <v>-0.09034267912772501</v>
      </c>
      <c r="F1745">
        <v>0.122537241710716</v>
      </c>
      <c r="G1745">
        <v>-0.397005678884873</v>
      </c>
      <c r="H1745">
        <v>-0.5768115942028981</v>
      </c>
      <c r="I1745">
        <v>-0.515854922279792</v>
      </c>
    </row>
    <row r="1746" spans="1:9">
      <c r="A1746" s="1" t="s">
        <v>1758</v>
      </c>
      <c r="B1746">
        <f>HYPERLINK("https://www.suredividend.com/sure-analysis-research-database/","United Fire Group Inc")</f>
        <v>0</v>
      </c>
      <c r="C1746">
        <v>-0.026120720084715</v>
      </c>
      <c r="D1746">
        <v>-0.047224380557713</v>
      </c>
      <c r="E1746">
        <v>-0.181723274767774</v>
      </c>
      <c r="F1746">
        <v>0.008406432748538001</v>
      </c>
      <c r="G1746">
        <v>0.133832510047917</v>
      </c>
      <c r="H1746">
        <v>-0.010887763186669</v>
      </c>
      <c r="I1746">
        <v>-0.237278530178502</v>
      </c>
    </row>
    <row r="1747" spans="1:9">
      <c r="A1747" s="1" t="s">
        <v>1759</v>
      </c>
      <c r="B1747">
        <f>HYPERLINK("https://www.suredividend.com/sure-analysis-research-database/","UNIFI, Inc.")</f>
        <v>0</v>
      </c>
      <c r="C1747">
        <v>0.052184466019417</v>
      </c>
      <c r="D1747">
        <v>-0.051422319474836</v>
      </c>
      <c r="E1747">
        <v>-0.372648335745296</v>
      </c>
      <c r="F1747">
        <v>0.006968641114982001</v>
      </c>
      <c r="G1747">
        <v>-0.6225511536787111</v>
      </c>
      <c r="H1747">
        <v>-0.525711159737418</v>
      </c>
      <c r="I1747">
        <v>-0.7570067264573991</v>
      </c>
    </row>
    <row r="1748" spans="1:9">
      <c r="A1748" s="1" t="s">
        <v>1760</v>
      </c>
      <c r="B1748">
        <f>HYPERLINK("https://www.suredividend.com/sure-analysis-research-database/","UFP Industries Inc")</f>
        <v>0</v>
      </c>
      <c r="C1748">
        <v>0.022158595792356</v>
      </c>
      <c r="D1748">
        <v>0.135596689606337</v>
      </c>
      <c r="E1748">
        <v>0.16941823899371</v>
      </c>
      <c r="F1748">
        <v>0.036088328075709</v>
      </c>
      <c r="G1748">
        <v>-0.059344577054468</v>
      </c>
      <c r="H1748">
        <v>0.471655706765745</v>
      </c>
      <c r="I1748">
        <v>1.259431496106326</v>
      </c>
    </row>
    <row r="1749" spans="1:9">
      <c r="A1749" s="1" t="s">
        <v>1761</v>
      </c>
      <c r="B1749">
        <f>HYPERLINK("https://www.suredividend.com/sure-analysis-research-database/","UFP Technologies Inc.")</f>
        <v>0</v>
      </c>
      <c r="C1749">
        <v>-0.003923240938166</v>
      </c>
      <c r="D1749">
        <v>0.3733537158984001</v>
      </c>
      <c r="E1749">
        <v>0.459145427286356</v>
      </c>
      <c r="F1749">
        <v>-0.009330732038340001</v>
      </c>
      <c r="G1749">
        <v>0.59331514324693</v>
      </c>
      <c r="H1749">
        <v>1.392747387830362</v>
      </c>
      <c r="I1749">
        <v>3.112323943661972</v>
      </c>
    </row>
    <row r="1750" spans="1:9">
      <c r="A1750" s="1" t="s">
        <v>1762</v>
      </c>
      <c r="B1750">
        <f>HYPERLINK("https://www.suredividend.com/sure-analysis-UHT/","Universal Health Realty Income Trust")</f>
        <v>0</v>
      </c>
      <c r="C1750">
        <v>-0.039634808499547</v>
      </c>
      <c r="D1750">
        <v>0.188538810776997</v>
      </c>
      <c r="E1750">
        <v>-0.03405626860543801</v>
      </c>
      <c r="F1750">
        <v>0.019065577205112</v>
      </c>
      <c r="G1750">
        <v>-0.146831313255336</v>
      </c>
      <c r="H1750">
        <v>-0.178861074908668</v>
      </c>
      <c r="I1750">
        <v>-0.126720660130237</v>
      </c>
    </row>
    <row r="1751" spans="1:9">
      <c r="A1751" s="1" t="s">
        <v>1763</v>
      </c>
      <c r="B1751">
        <f>HYPERLINK("https://www.suredividend.com/sure-analysis-research-database/","United Insurance Holdings Corp")</f>
        <v>0</v>
      </c>
      <c r="C1751">
        <v>2.117647058823529</v>
      </c>
      <c r="D1751">
        <v>0.706924315619967</v>
      </c>
      <c r="E1751">
        <v>-0.27891156462585</v>
      </c>
      <c r="F1751">
        <v>0</v>
      </c>
      <c r="G1751">
        <v>-0.7530288909599251</v>
      </c>
      <c r="H1751">
        <v>-0.8088195509063031</v>
      </c>
      <c r="I1751">
        <v>-0.9336957133653181</v>
      </c>
    </row>
    <row r="1752" spans="1:9">
      <c r="A1752" s="1" t="s">
        <v>1764</v>
      </c>
      <c r="B1752">
        <f>HYPERLINK("https://www.suredividend.com/sure-analysis-research-database/","Unisys Corp.")</f>
        <v>0</v>
      </c>
      <c r="C1752">
        <v>0.262910798122065</v>
      </c>
      <c r="D1752">
        <v>-0.3858447488584471</v>
      </c>
      <c r="E1752">
        <v>-0.602658788774002</v>
      </c>
      <c r="F1752">
        <v>0.05283757338551801</v>
      </c>
      <c r="G1752">
        <v>-0.7289672544080601</v>
      </c>
      <c r="H1752">
        <v>-0.741718674987998</v>
      </c>
      <c r="I1752">
        <v>-0.367058823529411</v>
      </c>
    </row>
    <row r="1753" spans="1:9">
      <c r="A1753" s="1" t="s">
        <v>1765</v>
      </c>
      <c r="B1753">
        <f>HYPERLINK("https://www.suredividend.com/sure-analysis-research-database/","Frontier Group Holdings Inc")</f>
        <v>0</v>
      </c>
      <c r="C1753">
        <v>-0.146203554119547</v>
      </c>
      <c r="D1753">
        <v>0.08299180327868801</v>
      </c>
      <c r="E1753">
        <v>-0.016744186046511</v>
      </c>
      <c r="F1753">
        <v>0.029211295034079</v>
      </c>
      <c r="G1753">
        <v>-0.254583921015514</v>
      </c>
      <c r="H1753">
        <v>-0.439257294429708</v>
      </c>
      <c r="I1753">
        <v>-0.439257294429708</v>
      </c>
    </row>
    <row r="1754" spans="1:9">
      <c r="A1754" s="1" t="s">
        <v>1766</v>
      </c>
      <c r="B1754">
        <f>HYPERLINK("https://www.suredividend.com/sure-analysis-research-database/","Universal Logistics Holdings Inc")</f>
        <v>0</v>
      </c>
      <c r="C1754">
        <v>0.028360413589364</v>
      </c>
      <c r="D1754">
        <v>0.07198398645007301</v>
      </c>
      <c r="E1754">
        <v>0.286928488774035</v>
      </c>
      <c r="F1754">
        <v>0.040968899521531</v>
      </c>
      <c r="G1754">
        <v>0.8979749844607051</v>
      </c>
      <c r="H1754">
        <v>0.647592271793561</v>
      </c>
      <c r="I1754">
        <v>0.59816722678273</v>
      </c>
    </row>
    <row r="1755" spans="1:9">
      <c r="A1755" s="1" t="s">
        <v>1767</v>
      </c>
      <c r="B1755">
        <f>HYPERLINK("https://www.suredividend.com/sure-analysis-UMBF/","UMB Financial Corp.")</f>
        <v>0</v>
      </c>
      <c r="C1755">
        <v>0.03986669958035</v>
      </c>
      <c r="D1755">
        <v>-0.02303209093165</v>
      </c>
      <c r="E1755">
        <v>-0.04490153133176401</v>
      </c>
      <c r="F1755">
        <v>0.008740421455938001</v>
      </c>
      <c r="G1755">
        <v>-0.217942124932469</v>
      </c>
      <c r="H1755">
        <v>0.173194081810269</v>
      </c>
      <c r="I1755">
        <v>0.260448255793947</v>
      </c>
    </row>
    <row r="1756" spans="1:9">
      <c r="A1756" s="1" t="s">
        <v>1768</v>
      </c>
      <c r="B1756">
        <f>HYPERLINK("https://www.suredividend.com/sure-analysis-UMH/","UMH Properties Inc")</f>
        <v>0</v>
      </c>
      <c r="C1756">
        <v>-0.03474676089517</v>
      </c>
      <c r="D1756">
        <v>0.09036962133106201</v>
      </c>
      <c r="E1756">
        <v>-0.090434859819307</v>
      </c>
      <c r="F1756">
        <v>0.018012422360248</v>
      </c>
      <c r="G1756">
        <v>-0.318236649667645</v>
      </c>
      <c r="H1756">
        <v>0.191765980498374</v>
      </c>
      <c r="I1756">
        <v>0.47716211831717</v>
      </c>
    </row>
    <row r="1757" spans="1:9">
      <c r="A1757" s="1" t="s">
        <v>1769</v>
      </c>
      <c r="B1757">
        <f>HYPERLINK("https://www.suredividend.com/sure-analysis-UNF/","Unifirst Corp.")</f>
        <v>0</v>
      </c>
      <c r="C1757">
        <v>0.06288311139294001</v>
      </c>
      <c r="D1757">
        <v>0.20594615271161</v>
      </c>
      <c r="E1757">
        <v>0.128531007671474</v>
      </c>
      <c r="F1757">
        <v>0.04223016736618401</v>
      </c>
      <c r="G1757">
        <v>0.034063854496923</v>
      </c>
      <c r="H1757">
        <v>-0.053436551448269</v>
      </c>
      <c r="I1757">
        <v>0.20667178995248</v>
      </c>
    </row>
    <row r="1758" spans="1:9">
      <c r="A1758" s="1" t="s">
        <v>1770</v>
      </c>
      <c r="B1758">
        <f>HYPERLINK("https://www.suredividend.com/sure-analysis-research-database/","United Natural Foods Inc.")</f>
        <v>0</v>
      </c>
      <c r="C1758">
        <v>0.022480620155038</v>
      </c>
      <c r="D1758">
        <v>0.118112461147216</v>
      </c>
      <c r="E1758">
        <v>0.00025278058645</v>
      </c>
      <c r="F1758">
        <v>0.02221648152932</v>
      </c>
      <c r="G1758">
        <v>-0.170961659333752</v>
      </c>
      <c r="H1758">
        <v>1.385171790235081</v>
      </c>
      <c r="I1758">
        <v>-0.146462467644521</v>
      </c>
    </row>
    <row r="1759" spans="1:9">
      <c r="A1759" s="1" t="s">
        <v>1771</v>
      </c>
      <c r="B1759">
        <f>HYPERLINK("https://www.suredividend.com/sure-analysis-UNIT/","Uniti Group Inc")</f>
        <v>0</v>
      </c>
      <c r="C1759">
        <v>0.006473888649115</v>
      </c>
      <c r="D1759">
        <v>-0.102331167431404</v>
      </c>
      <c r="E1759">
        <v>-0.355530498994052</v>
      </c>
      <c r="F1759">
        <v>0.054249547920433</v>
      </c>
      <c r="G1759">
        <v>-0.521731283532133</v>
      </c>
      <c r="H1759">
        <v>-0.44524797320443</v>
      </c>
      <c r="I1759">
        <v>-0.5037875563877771</v>
      </c>
    </row>
    <row r="1760" spans="1:9">
      <c r="A1760" s="1" t="s">
        <v>1772</v>
      </c>
      <c r="B1760">
        <f>HYPERLINK("https://www.suredividend.com/sure-analysis-research-database/","Upland Software Inc")</f>
        <v>0</v>
      </c>
      <c r="C1760">
        <v>0.110650069156293</v>
      </c>
      <c r="D1760">
        <v>-0.003722084367245</v>
      </c>
      <c r="E1760">
        <v>-0.451502732240437</v>
      </c>
      <c r="F1760">
        <v>0.126227208976156</v>
      </c>
      <c r="G1760">
        <v>-0.5563535911602211</v>
      </c>
      <c r="H1760">
        <v>-0.830982950957693</v>
      </c>
      <c r="I1760">
        <v>-0.635</v>
      </c>
    </row>
    <row r="1761" spans="1:9">
      <c r="A1761" s="1" t="s">
        <v>1773</v>
      </c>
      <c r="B1761">
        <f>HYPERLINK("https://www.suredividend.com/sure-analysis-research-database/","Upwork Inc")</f>
        <v>0</v>
      </c>
      <c r="C1761">
        <v>0.025777777777777</v>
      </c>
      <c r="D1761">
        <v>-0.182140326009922</v>
      </c>
      <c r="E1761">
        <v>-0.5241237113402061</v>
      </c>
      <c r="F1761">
        <v>0.105363984674329</v>
      </c>
      <c r="G1761">
        <v>-0.608946119959335</v>
      </c>
      <c r="H1761">
        <v>-0.6963956853459611</v>
      </c>
      <c r="I1761">
        <v>-0.4551463644948061</v>
      </c>
    </row>
    <row r="1762" spans="1:9">
      <c r="A1762" s="1" t="s">
        <v>1774</v>
      </c>
      <c r="B1762">
        <f>HYPERLINK("https://www.suredividend.com/sure-analysis-research-database/","Urban Outfitters, Inc.")</f>
        <v>0</v>
      </c>
      <c r="C1762">
        <v>-0.069444444444444</v>
      </c>
      <c r="D1762">
        <v>0.168962350780532</v>
      </c>
      <c r="E1762">
        <v>0.269825436408977</v>
      </c>
      <c r="F1762">
        <v>0.06750524109014601</v>
      </c>
      <c r="G1762">
        <v>-0.113818308388444</v>
      </c>
      <c r="H1762">
        <v>-0.04626334519572901</v>
      </c>
      <c r="I1762">
        <v>-0.213469261662032</v>
      </c>
    </row>
    <row r="1763" spans="1:9">
      <c r="A1763" s="1" t="s">
        <v>1775</v>
      </c>
      <c r="B1763">
        <f>HYPERLINK("https://www.suredividend.com/sure-analysis-research-database/","Ur-Energy Inc.")</f>
        <v>0</v>
      </c>
      <c r="C1763">
        <v>0.09482758620689601</v>
      </c>
      <c r="D1763">
        <v>0.085470085470085</v>
      </c>
      <c r="E1763">
        <v>0.165137614678898</v>
      </c>
      <c r="F1763">
        <v>0.104347826086956</v>
      </c>
      <c r="G1763">
        <v>-0.124137931034482</v>
      </c>
      <c r="H1763">
        <v>0.530120481927711</v>
      </c>
      <c r="I1763">
        <v>0.788732394366197</v>
      </c>
    </row>
    <row r="1764" spans="1:9">
      <c r="A1764" s="1" t="s">
        <v>1776</v>
      </c>
      <c r="B1764">
        <f>HYPERLINK("https://www.suredividend.com/sure-analysis-research-database/","UroGen Pharma Ltd")</f>
        <v>0</v>
      </c>
      <c r="C1764">
        <v>0.05037783375314801</v>
      </c>
      <c r="D1764">
        <v>-0.136645962732919</v>
      </c>
      <c r="E1764">
        <v>-0.045766590389016</v>
      </c>
      <c r="F1764">
        <v>-0.05975197294250201</v>
      </c>
      <c r="G1764">
        <v>-0.04903078677309</v>
      </c>
      <c r="H1764">
        <v>-0.6028571428571421</v>
      </c>
      <c r="I1764">
        <v>-0.808011049723756</v>
      </c>
    </row>
    <row r="1765" spans="1:9">
      <c r="A1765" s="1" t="s">
        <v>1777</v>
      </c>
      <c r="B1765">
        <f>HYPERLINK("https://www.suredividend.com/sure-analysis-research-database/","ProShares Trust")</f>
        <v>0</v>
      </c>
      <c r="C1765">
        <v>-0.05976478773090201</v>
      </c>
      <c r="D1765">
        <v>0.2639686414744</v>
      </c>
      <c r="E1765">
        <v>-0.08769178078792</v>
      </c>
      <c r="F1765">
        <v>0.109903381642512</v>
      </c>
      <c r="G1765">
        <v>-0.612354870345569</v>
      </c>
      <c r="H1765">
        <v>-0.346558589306029</v>
      </c>
      <c r="I1765">
        <v>0.7089407914311211</v>
      </c>
    </row>
    <row r="1766" spans="1:9">
      <c r="A1766" s="1" t="s">
        <v>1778</v>
      </c>
      <c r="B1766">
        <f>HYPERLINK("https://www.suredividend.com/sure-analysis-research-database/","UserTesting Inc")</f>
        <v>0</v>
      </c>
      <c r="C1766">
        <v>0.009421265141319001</v>
      </c>
      <c r="D1766">
        <v>0.9841269841269841</v>
      </c>
      <c r="E1766">
        <v>0.188589540412044</v>
      </c>
      <c r="F1766">
        <v>-0.001331557922769</v>
      </c>
      <c r="G1766">
        <v>-0.069478908188585</v>
      </c>
      <c r="H1766">
        <v>-0.464668094218415</v>
      </c>
      <c r="I1766">
        <v>-0.464668094218415</v>
      </c>
    </row>
    <row r="1767" spans="1:9">
      <c r="A1767" s="1" t="s">
        <v>1779</v>
      </c>
      <c r="B1767">
        <f>HYPERLINK("https://www.suredividend.com/sure-analysis-research-database/","United States Lime &amp; Minerals Inc.")</f>
        <v>0</v>
      </c>
      <c r="C1767">
        <v>-0.045033641995869</v>
      </c>
      <c r="D1767">
        <v>0.358694364380312</v>
      </c>
      <c r="E1767">
        <v>0.320001031322745</v>
      </c>
      <c r="F1767">
        <v>0.018400113668655</v>
      </c>
      <c r="G1767">
        <v>0.120551309680984</v>
      </c>
      <c r="H1767">
        <v>0.158502731189382</v>
      </c>
      <c r="I1767">
        <v>0.9984971190133961</v>
      </c>
    </row>
    <row r="1768" spans="1:9">
      <c r="A1768" s="1" t="s">
        <v>1780</v>
      </c>
      <c r="B1768">
        <f>HYPERLINK("https://www.suredividend.com/sure-analysis-research-database/","United States Cellular Corporation")</f>
        <v>0</v>
      </c>
      <c r="C1768">
        <v>0.175745118191161</v>
      </c>
      <c r="D1768">
        <v>-0.109727626459144</v>
      </c>
      <c r="E1768">
        <v>-0.1991599579979</v>
      </c>
      <c r="F1768">
        <v>0.09736211031175</v>
      </c>
      <c r="G1768">
        <v>-0.295566502463054</v>
      </c>
      <c r="H1768">
        <v>-0.271569563833174</v>
      </c>
      <c r="I1768">
        <v>-0.390354383160138</v>
      </c>
    </row>
    <row r="1769" spans="1:9">
      <c r="A1769" s="1" t="s">
        <v>1781</v>
      </c>
      <c r="B1769">
        <f>HYPERLINK("https://www.suredividend.com/sure-analysis-research-database/","Usana Health Sciences Inc")</f>
        <v>0</v>
      </c>
      <c r="C1769">
        <v>0.085344661131492</v>
      </c>
      <c r="D1769">
        <v>0.010244428468727</v>
      </c>
      <c r="E1769">
        <v>-0.159288064612623</v>
      </c>
      <c r="F1769">
        <v>0.05657894736842101</v>
      </c>
      <c r="G1769">
        <v>-0.443465346534653</v>
      </c>
      <c r="H1769">
        <v>-0.294907175112895</v>
      </c>
      <c r="I1769">
        <v>-0.236277173913043</v>
      </c>
    </row>
    <row r="1770" spans="1:9">
      <c r="A1770" s="1" t="s">
        <v>1782</v>
      </c>
      <c r="B1770">
        <f>HYPERLINK("https://www.suredividend.com/sure-analysis-research-database/","U.S. Physical Therapy, Inc.")</f>
        <v>0</v>
      </c>
      <c r="C1770">
        <v>-0.020389461626575</v>
      </c>
      <c r="D1770">
        <v>0.08819715811560601</v>
      </c>
      <c r="E1770">
        <v>-0.26381783451224</v>
      </c>
      <c r="F1770">
        <v>0.055411575959521</v>
      </c>
      <c r="G1770">
        <v>-0.063154885079821</v>
      </c>
      <c r="H1770">
        <v>-0.310989920246599</v>
      </c>
      <c r="I1770">
        <v>0.247047157980693</v>
      </c>
    </row>
    <row r="1771" spans="1:9">
      <c r="A1771" s="1" t="s">
        <v>1783</v>
      </c>
      <c r="B1771">
        <f>HYPERLINK("https://www.suredividend.com/sure-analysis-research-database/","U.S. Xpress Enterprises Inc")</f>
        <v>0</v>
      </c>
      <c r="C1771">
        <v>-0.033492822966507</v>
      </c>
      <c r="D1771">
        <v>-0.214007782101167</v>
      </c>
      <c r="E1771">
        <v>-0.308219178082191</v>
      </c>
      <c r="F1771">
        <v>0.116022099447513</v>
      </c>
      <c r="G1771">
        <v>-0.615969581749049</v>
      </c>
      <c r="H1771">
        <v>-0.7206085753803591</v>
      </c>
      <c r="I1771">
        <v>-0.8788968824940041</v>
      </c>
    </row>
    <row r="1772" spans="1:9">
      <c r="A1772" s="1" t="s">
        <v>1784</v>
      </c>
      <c r="B1772">
        <f>HYPERLINK("https://www.suredividend.com/sure-analysis-research-database/","Unitil Corp.")</f>
        <v>0</v>
      </c>
      <c r="C1772">
        <v>0.003096574414553</v>
      </c>
      <c r="D1772">
        <v>0.159523394050032</v>
      </c>
      <c r="E1772">
        <v>-0.08793676267702701</v>
      </c>
      <c r="F1772">
        <v>0.009151090342679</v>
      </c>
      <c r="G1772">
        <v>0.142969294415482</v>
      </c>
      <c r="H1772">
        <v>0.291188875298009</v>
      </c>
      <c r="I1772">
        <v>0.363452219983269</v>
      </c>
    </row>
    <row r="1773" spans="1:9">
      <c r="A1773" s="1" t="s">
        <v>1785</v>
      </c>
      <c r="B1773">
        <f>HYPERLINK("https://www.suredividend.com/sure-analysis-research-database/","Utah Medical Products, Inc.")</f>
        <v>0</v>
      </c>
      <c r="C1773">
        <v>-0.116738585278909</v>
      </c>
      <c r="D1773">
        <v>0.07255566559038</v>
      </c>
      <c r="E1773">
        <v>0.06439364213144301</v>
      </c>
      <c r="F1773">
        <v>-0.123047846414005</v>
      </c>
      <c r="G1773">
        <v>-0.022190377847554</v>
      </c>
      <c r="H1773">
        <v>0.045198677852126</v>
      </c>
      <c r="I1773">
        <v>0.170227169552855</v>
      </c>
    </row>
    <row r="1774" spans="1:9">
      <c r="A1774" s="1" t="s">
        <v>1786</v>
      </c>
      <c r="B1774">
        <f>HYPERLINK("https://www.suredividend.com/sure-analysis-research-database/","Utz Brands Inc")</f>
        <v>0</v>
      </c>
      <c r="C1774">
        <v>-0.09729021124072801</v>
      </c>
      <c r="D1774">
        <v>0.143521794880778</v>
      </c>
      <c r="E1774">
        <v>0.124633047121573</v>
      </c>
      <c r="F1774">
        <v>0.029003783102143</v>
      </c>
      <c r="G1774">
        <v>-0.079894684023882</v>
      </c>
      <c r="H1774">
        <v>-0.226199225250939</v>
      </c>
      <c r="I1774">
        <v>0.6947040498442361</v>
      </c>
    </row>
    <row r="1775" spans="1:9">
      <c r="A1775" s="1" t="s">
        <v>1787</v>
      </c>
      <c r="B1775">
        <f>HYPERLINK("https://www.suredividend.com/sure-analysis-research-database/","Energy Fuels Inc")</f>
        <v>0</v>
      </c>
      <c r="C1775">
        <v>0.122241086587436</v>
      </c>
      <c r="D1775">
        <v>-0.02074074074074</v>
      </c>
      <c r="E1775">
        <v>0.215073529411764</v>
      </c>
      <c r="F1775">
        <v>0.06441223832528101</v>
      </c>
      <c r="G1775">
        <v>-0.208383233532934</v>
      </c>
      <c r="H1775">
        <v>0.648379052369077</v>
      </c>
      <c r="I1775">
        <v>2.734463276836158</v>
      </c>
    </row>
    <row r="1776" spans="1:9">
      <c r="A1776" s="1" t="s">
        <v>1788</v>
      </c>
      <c r="B1776">
        <f>HYPERLINK("https://www.suredividend.com/sure-analysis-research-database/","Universal Insurance Holdings Inc")</f>
        <v>0</v>
      </c>
      <c r="C1776">
        <v>-0.043749999999999</v>
      </c>
      <c r="D1776">
        <v>0.269288203086112</v>
      </c>
      <c r="E1776">
        <v>-0.134202633770139</v>
      </c>
      <c r="F1776">
        <v>0.011331444759207</v>
      </c>
      <c r="G1776">
        <v>-0.3838099073701161</v>
      </c>
      <c r="H1776">
        <v>-0.240926197614339</v>
      </c>
      <c r="I1776">
        <v>-0.5457186849170961</v>
      </c>
    </row>
    <row r="1777" spans="1:9">
      <c r="A1777" s="1" t="s">
        <v>1789</v>
      </c>
      <c r="B1777">
        <f>HYPERLINK("https://www.suredividend.com/sure-analysis-research-database/","Univest Financial Corp")</f>
        <v>0</v>
      </c>
      <c r="C1777">
        <v>-0.037120359955005</v>
      </c>
      <c r="D1777">
        <v>0.05603395099805</v>
      </c>
      <c r="E1777">
        <v>0.018308133379331</v>
      </c>
      <c r="F1777">
        <v>-0.017221584385763</v>
      </c>
      <c r="G1777">
        <v>-0.156123689658571</v>
      </c>
      <c r="H1777">
        <v>0.202584995785332</v>
      </c>
      <c r="I1777">
        <v>0.060850167306977</v>
      </c>
    </row>
    <row r="1778" spans="1:9">
      <c r="A1778" s="1" t="s">
        <v>1790</v>
      </c>
      <c r="B1778">
        <f>HYPERLINK("https://www.suredividend.com/sure-analysis-UVV/","Universal Corp.")</f>
        <v>0</v>
      </c>
      <c r="C1778">
        <v>-0.047943065183264</v>
      </c>
      <c r="D1778">
        <v>0.187368556986311</v>
      </c>
      <c r="E1778">
        <v>0.00190106299971</v>
      </c>
      <c r="F1778">
        <v>-0.010264493310779</v>
      </c>
      <c r="G1778">
        <v>-0.029744575407256</v>
      </c>
      <c r="H1778">
        <v>0.105386316309224</v>
      </c>
      <c r="I1778">
        <v>0.315355866476946</v>
      </c>
    </row>
    <row r="1779" spans="1:9">
      <c r="A1779" s="1" t="s">
        <v>1791</v>
      </c>
      <c r="B1779">
        <f>HYPERLINK("https://www.suredividend.com/sure-analysis-research-database/","Value Line, Inc.")</f>
        <v>0</v>
      </c>
      <c r="C1779">
        <v>-0.045454545454545</v>
      </c>
      <c r="D1779">
        <v>0.03965748731617801</v>
      </c>
      <c r="E1779">
        <v>-0.1523467079568</v>
      </c>
      <c r="F1779">
        <v>0.031839622641509</v>
      </c>
      <c r="G1779">
        <v>0.097834860543606</v>
      </c>
      <c r="H1779">
        <v>0.825566273271623</v>
      </c>
      <c r="I1779">
        <v>2.111848734514848</v>
      </c>
    </row>
    <row r="1780" spans="1:9">
      <c r="A1780" s="1" t="s">
        <v>1792</v>
      </c>
      <c r="B1780">
        <f>HYPERLINK("https://www.suredividend.com/sure-analysis-research-database/","Vapotherm Inc")</f>
        <v>0</v>
      </c>
      <c r="C1780">
        <v>0.333333333333333</v>
      </c>
      <c r="D1780">
        <v>0.318681318681318</v>
      </c>
      <c r="E1780">
        <v>-0.036144578313253</v>
      </c>
      <c r="F1780">
        <v>-0.111111111111111</v>
      </c>
      <c r="G1780">
        <v>-0.878665318503538</v>
      </c>
      <c r="H1780">
        <v>-0.9206611570247931</v>
      </c>
      <c r="I1780">
        <v>-0.85</v>
      </c>
    </row>
    <row r="1781" spans="1:9">
      <c r="A1781" s="1" t="s">
        <v>1793</v>
      </c>
      <c r="B1781">
        <f>HYPERLINK("https://www.suredividend.com/sure-analysis-research-database/","Innovate Corp")</f>
        <v>0</v>
      </c>
      <c r="C1781">
        <v>0.7333333333333331</v>
      </c>
      <c r="D1781">
        <v>2.205479452054794</v>
      </c>
      <c r="E1781">
        <v>0.344827586206896</v>
      </c>
      <c r="F1781">
        <v>0.251336898395721</v>
      </c>
      <c r="G1781">
        <v>-0.385826771653543</v>
      </c>
      <c r="H1781">
        <v>-0.301492537313432</v>
      </c>
      <c r="I1781">
        <v>-0.625378223908553</v>
      </c>
    </row>
    <row r="1782" spans="1:9">
      <c r="A1782" s="1" t="s">
        <v>1794</v>
      </c>
      <c r="B1782">
        <f>HYPERLINK("https://www.suredividend.com/sure-analysis-research-database/","VBI Vaccines Inc.")</f>
        <v>0</v>
      </c>
      <c r="C1782">
        <v>-0.155869650569297</v>
      </c>
      <c r="D1782">
        <v>-0.3777134587554261</v>
      </c>
      <c r="E1782">
        <v>-0.489068441064638</v>
      </c>
      <c r="F1782">
        <v>0.099463052927639</v>
      </c>
      <c r="G1782">
        <v>-0.797169811320754</v>
      </c>
      <c r="H1782">
        <v>-0.862619808306709</v>
      </c>
      <c r="I1782">
        <v>-0.901826484018264</v>
      </c>
    </row>
    <row r="1783" spans="1:9">
      <c r="A1783" s="1" t="s">
        <v>1795</v>
      </c>
      <c r="B1783">
        <f>HYPERLINK("https://www.suredividend.com/sure-analysis-research-database/","Veritex Holdings Inc")</f>
        <v>0</v>
      </c>
      <c r="C1783">
        <v>-0.04960924226979201</v>
      </c>
      <c r="D1783">
        <v>0.051215267990363</v>
      </c>
      <c r="E1783">
        <v>-0.032042608120875</v>
      </c>
      <c r="F1783">
        <v>-0.003917378917378</v>
      </c>
      <c r="G1783">
        <v>-0.317168679110781</v>
      </c>
      <c r="H1783">
        <v>0.06871162362399001</v>
      </c>
      <c r="I1783">
        <v>0.123983813347157</v>
      </c>
    </row>
    <row r="1784" spans="1:9">
      <c r="A1784" s="1" t="s">
        <v>1796</v>
      </c>
      <c r="B1784">
        <f>HYPERLINK("https://www.suredividend.com/sure-analysis-research-database/","Visteon Corp.")</f>
        <v>0</v>
      </c>
      <c r="C1784">
        <v>0.047906807426283</v>
      </c>
      <c r="D1784">
        <v>0.235768867519533</v>
      </c>
      <c r="E1784">
        <v>0.326421527969772</v>
      </c>
      <c r="F1784">
        <v>0.100129939616295</v>
      </c>
      <c r="G1784">
        <v>0.251021295089091</v>
      </c>
      <c r="H1784">
        <v>0.029615852349953</v>
      </c>
      <c r="I1784">
        <v>0.03770728190338801</v>
      </c>
    </row>
    <row r="1785" spans="1:9">
      <c r="A1785" s="1" t="s">
        <v>1797</v>
      </c>
      <c r="B1785">
        <f>HYPERLINK("https://www.suredividend.com/sure-analysis-research-database/","Vericel Corp")</f>
        <v>0</v>
      </c>
      <c r="C1785">
        <v>0.038310840226382</v>
      </c>
      <c r="D1785">
        <v>0.015325670498084</v>
      </c>
      <c r="E1785">
        <v>-0.143933955491744</v>
      </c>
      <c r="F1785">
        <v>-0.094533029612756</v>
      </c>
      <c r="G1785">
        <v>-0.346217105263157</v>
      </c>
      <c r="H1785">
        <v>-0.340613768316284</v>
      </c>
      <c r="I1785">
        <v>2.942148760330579</v>
      </c>
    </row>
    <row r="1786" spans="1:9">
      <c r="A1786" s="1" t="s">
        <v>1798</v>
      </c>
      <c r="B1786">
        <f>HYPERLINK("https://www.suredividend.com/sure-analysis-research-database/","Veracyte Inc")</f>
        <v>0</v>
      </c>
      <c r="C1786">
        <v>-0.136005994754589</v>
      </c>
      <c r="D1786">
        <v>0.312464428002276</v>
      </c>
      <c r="E1786">
        <v>-0.09921875000000001</v>
      </c>
      <c r="F1786">
        <v>-0.028234302570585</v>
      </c>
      <c r="G1786">
        <v>-0.31328171530673</v>
      </c>
      <c r="H1786">
        <v>-0.556453164070013</v>
      </c>
      <c r="I1786">
        <v>2.452095808383233</v>
      </c>
    </row>
    <row r="1787" spans="1:9">
      <c r="A1787" s="1" t="s">
        <v>1799</v>
      </c>
      <c r="B1787">
        <f>HYPERLINK("https://www.suredividend.com/sure-analysis-research-database/","V2X Inc")</f>
        <v>0</v>
      </c>
      <c r="C1787">
        <v>-0.08549150654413701</v>
      </c>
      <c r="D1787">
        <v>-0.148119325551231</v>
      </c>
      <c r="E1787">
        <v>-0.29009943795936</v>
      </c>
      <c r="F1787">
        <v>-0.282499453790692</v>
      </c>
      <c r="G1787">
        <v>-0.289177489177489</v>
      </c>
      <c r="H1787">
        <v>-0.293915287035046</v>
      </c>
      <c r="I1787">
        <v>0.009840098400984001</v>
      </c>
    </row>
    <row r="1788" spans="1:9">
      <c r="A1788" s="1" t="s">
        <v>1800</v>
      </c>
      <c r="B1788">
        <f>HYPERLINK("https://www.suredividend.com/sure-analysis-research-database/","Veeco Instruments Inc")</f>
        <v>0</v>
      </c>
      <c r="C1788">
        <v>0.039349422875131</v>
      </c>
      <c r="D1788">
        <v>0.059925093632958</v>
      </c>
      <c r="E1788">
        <v>0.07838867719107201</v>
      </c>
      <c r="F1788">
        <v>0.06620021528525301</v>
      </c>
      <c r="G1788">
        <v>-0.286897048236141</v>
      </c>
      <c r="H1788">
        <v>0.00660569105691</v>
      </c>
      <c r="I1788">
        <v>0.238124999999999</v>
      </c>
    </row>
    <row r="1789" spans="1:9">
      <c r="A1789" s="1" t="s">
        <v>1801</v>
      </c>
      <c r="B1789">
        <f>HYPERLINK("https://www.suredividend.com/sure-analysis-research-database/","Velocity Financial Inc")</f>
        <v>0</v>
      </c>
      <c r="C1789">
        <v>0.048553719008264</v>
      </c>
      <c r="D1789">
        <v>-0.06451612903225801</v>
      </c>
      <c r="E1789">
        <v>-0.04694835680751101</v>
      </c>
      <c r="F1789">
        <v>0.05181347150259</v>
      </c>
      <c r="G1789">
        <v>-0.249815225424981</v>
      </c>
      <c r="H1789">
        <v>0.4397163120567371</v>
      </c>
      <c r="I1789">
        <v>-0.248704663212435</v>
      </c>
    </row>
    <row r="1790" spans="1:9">
      <c r="A1790" s="1" t="s">
        <v>1802</v>
      </c>
      <c r="B1790">
        <f>HYPERLINK("https://www.suredividend.com/sure-analysis-research-database/","Vera Therapeutics Inc")</f>
        <v>0</v>
      </c>
      <c r="C1790">
        <v>-0.6715239829993921</v>
      </c>
      <c r="D1790">
        <v>-0.728957915831663</v>
      </c>
      <c r="E1790">
        <v>-0.6317222600408441</v>
      </c>
      <c r="F1790">
        <v>-0.720413436692506</v>
      </c>
      <c r="G1790">
        <v>-0.744087038789025</v>
      </c>
      <c r="H1790">
        <v>-0.529565217391304</v>
      </c>
      <c r="I1790">
        <v>-0.529565217391304</v>
      </c>
    </row>
    <row r="1791" spans="1:9">
      <c r="A1791" s="1" t="s">
        <v>1803</v>
      </c>
      <c r="B1791">
        <f>HYPERLINK("https://www.suredividend.com/sure-analysis-research-database/","Veritone Inc")</f>
        <v>0</v>
      </c>
      <c r="C1791">
        <v>-0.32156862745098</v>
      </c>
      <c r="D1791">
        <v>-0.087873462214411</v>
      </c>
      <c r="E1791">
        <v>-0.30614973262032</v>
      </c>
      <c r="F1791">
        <v>-0.020754716981131</v>
      </c>
      <c r="G1791">
        <v>-0.7352040816326531</v>
      </c>
      <c r="H1791">
        <v>-0.865019505851755</v>
      </c>
      <c r="I1791">
        <v>-0.7769660507090671</v>
      </c>
    </row>
    <row r="1792" spans="1:9">
      <c r="A1792" s="1" t="s">
        <v>1804</v>
      </c>
      <c r="B1792">
        <f>HYPERLINK("https://www.suredividend.com/sure-analysis-research-database/","Veru Inc")</f>
        <v>0</v>
      </c>
      <c r="C1792">
        <v>-0.03290676416819</v>
      </c>
      <c r="D1792">
        <v>-0.522131887985546</v>
      </c>
      <c r="E1792">
        <v>-0.6028528528528521</v>
      </c>
      <c r="F1792">
        <v>0.001893939393939</v>
      </c>
      <c r="G1792">
        <v>-0.031135531135531</v>
      </c>
      <c r="H1792">
        <v>-0.446073298429319</v>
      </c>
      <c r="I1792">
        <v>2.778571428571429</v>
      </c>
    </row>
    <row r="1793" spans="1:9">
      <c r="A1793" s="1" t="s">
        <v>1805</v>
      </c>
      <c r="B1793">
        <f>HYPERLINK("https://www.suredividend.com/sure-analysis-research-database/","Verve Therapeutics Inc")</f>
        <v>0</v>
      </c>
      <c r="C1793">
        <v>-0.06789838337182401</v>
      </c>
      <c r="D1793">
        <v>-0.397611940298507</v>
      </c>
      <c r="E1793">
        <v>-0.049458313707018</v>
      </c>
      <c r="F1793">
        <v>0.04289405684754501</v>
      </c>
      <c r="G1793">
        <v>-0.370358814352574</v>
      </c>
      <c r="H1793">
        <v>-0.367794486215538</v>
      </c>
      <c r="I1793">
        <v>-0.367794486215538</v>
      </c>
    </row>
    <row r="1794" spans="1:9">
      <c r="A1794" s="1" t="s">
        <v>1806</v>
      </c>
      <c r="B1794">
        <f>HYPERLINK("https://www.suredividend.com/sure-analysis-research-database/","Vonage Holdings Corp")</f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</row>
    <row r="1795" spans="1:9">
      <c r="A1795" s="1" t="s">
        <v>1807</v>
      </c>
      <c r="B1795">
        <f>HYPERLINK("https://www.suredividend.com/sure-analysis-VGR/","Vector Group Ltd")</f>
        <v>0</v>
      </c>
      <c r="C1795">
        <v>0.082666666666666</v>
      </c>
      <c r="D1795">
        <v>0.395476730597374</v>
      </c>
      <c r="E1795">
        <v>0.252287635458863</v>
      </c>
      <c r="F1795">
        <v>0.026981450252951</v>
      </c>
      <c r="G1795">
        <v>0.194047408975942</v>
      </c>
      <c r="H1795">
        <v>0.07963409445468701</v>
      </c>
      <c r="I1795">
        <v>-0.08476792329483501</v>
      </c>
    </row>
    <row r="1796" spans="1:9">
      <c r="A1796" s="1" t="s">
        <v>1808</v>
      </c>
      <c r="B1796">
        <f>HYPERLINK("https://www.suredividend.com/sure-analysis-research-database/","Virnetx Holding Corp")</f>
        <v>0</v>
      </c>
      <c r="C1796">
        <v>0.1875</v>
      </c>
      <c r="D1796">
        <v>0.288135593220339</v>
      </c>
      <c r="E1796">
        <v>0.17829457364341</v>
      </c>
      <c r="F1796">
        <v>0.169230769230769</v>
      </c>
      <c r="G1796">
        <v>-0.4062500000000001</v>
      </c>
      <c r="H1796">
        <v>-0.698412698412698</v>
      </c>
      <c r="I1796">
        <v>-0.562451423472178</v>
      </c>
    </row>
    <row r="1797" spans="1:9">
      <c r="A1797" s="1" t="s">
        <v>1809</v>
      </c>
      <c r="B1797">
        <f>HYPERLINK("https://www.suredividend.com/sure-analysis-research-database/","Valhi, Inc.")</f>
        <v>0</v>
      </c>
      <c r="C1797">
        <v>-0.011087420042643</v>
      </c>
      <c r="D1797">
        <v>-0.072403710385158</v>
      </c>
      <c r="E1797">
        <v>-0.4600484768896551</v>
      </c>
      <c r="F1797">
        <v>0.054090909090909</v>
      </c>
      <c r="G1797">
        <v>-0.167106638364813</v>
      </c>
      <c r="H1797">
        <v>0.389113519147483</v>
      </c>
      <c r="I1797">
        <v>-0.6372311302307391</v>
      </c>
    </row>
    <row r="1798" spans="1:9">
      <c r="A1798" s="1" t="s">
        <v>1810</v>
      </c>
      <c r="B1798">
        <f>HYPERLINK("https://www.suredividend.com/sure-analysis-VIA/","Via Renewables Inc")</f>
        <v>0</v>
      </c>
      <c r="C1798">
        <v>0.021032504780114</v>
      </c>
      <c r="D1798">
        <v>-0.1342973866805</v>
      </c>
      <c r="E1798">
        <v>-0.259218156091335</v>
      </c>
      <c r="F1798">
        <v>0.04500978473581101</v>
      </c>
      <c r="G1798">
        <v>-0.4977095933705191</v>
      </c>
      <c r="H1798">
        <v>-0.472287692148055</v>
      </c>
      <c r="I1798">
        <v>-0.475444619623675</v>
      </c>
    </row>
    <row r="1799" spans="1:9">
      <c r="A1799" s="1" t="s">
        <v>1811</v>
      </c>
      <c r="B1799">
        <f>HYPERLINK("https://www.suredividend.com/sure-analysis-research-database/","Viavi Solutions Inc")</f>
        <v>0</v>
      </c>
      <c r="C1799">
        <v>0.041275797373358</v>
      </c>
      <c r="D1799">
        <v>-0.207708779443254</v>
      </c>
      <c r="E1799">
        <v>-0.175334323922734</v>
      </c>
      <c r="F1799">
        <v>0.05613701236917201</v>
      </c>
      <c r="G1799">
        <v>-0.350117096018735</v>
      </c>
      <c r="H1799">
        <v>-0.282945736434108</v>
      </c>
      <c r="I1799">
        <v>0.264236902050113</v>
      </c>
    </row>
    <row r="1800" spans="1:9">
      <c r="A1800" s="1" t="s">
        <v>1812</v>
      </c>
      <c r="B1800">
        <f>HYPERLINK("https://www.suredividend.com/sure-analysis-research-database/","Vicor Corp.")</f>
        <v>0</v>
      </c>
      <c r="C1800">
        <v>0.068739464319161</v>
      </c>
      <c r="D1800">
        <v>-0.008342022940563</v>
      </c>
      <c r="E1800">
        <v>0.04793388429752</v>
      </c>
      <c r="F1800">
        <v>0.061581395348837</v>
      </c>
      <c r="G1800">
        <v>-0.507848887355528</v>
      </c>
      <c r="H1800">
        <v>-0.426532663316582</v>
      </c>
      <c r="I1800">
        <v>1.964155844155844</v>
      </c>
    </row>
    <row r="1801" spans="1:9">
      <c r="A1801" s="1" t="s">
        <v>1813</v>
      </c>
      <c r="B1801">
        <f>HYPERLINK("https://www.suredividend.com/sure-analysis-research-database/","View Inc.")</f>
        <v>0</v>
      </c>
      <c r="C1801">
        <v>-0.3125</v>
      </c>
      <c r="D1801">
        <v>-0.360465116279069</v>
      </c>
      <c r="E1801">
        <v>-0.5416666666666661</v>
      </c>
      <c r="F1801">
        <v>-0.14498911804332</v>
      </c>
      <c r="G1801">
        <v>-0.7695530726256981</v>
      </c>
      <c r="H1801">
        <v>-0.9294871794871791</v>
      </c>
      <c r="I1801">
        <v>-0.9149484536082471</v>
      </c>
    </row>
    <row r="1802" spans="1:9">
      <c r="A1802" s="1" t="s">
        <v>1814</v>
      </c>
      <c r="B1802">
        <f>HYPERLINK("https://www.suredividend.com/sure-analysis-research-database/","Vigil Neuroscience Inc")</f>
        <v>0</v>
      </c>
      <c r="C1802">
        <v>-0.018744906275468</v>
      </c>
      <c r="D1802">
        <v>0.377574370709381</v>
      </c>
      <c r="E1802">
        <v>1.806526806526806</v>
      </c>
      <c r="F1802">
        <v>-0.03680000000000001</v>
      </c>
      <c r="G1802">
        <v>-0.048221343873517</v>
      </c>
      <c r="H1802">
        <v>-0.048221343873517</v>
      </c>
      <c r="I1802">
        <v>-0.048221343873517</v>
      </c>
    </row>
    <row r="1803" spans="1:9">
      <c r="A1803" s="1" t="s">
        <v>1815</v>
      </c>
      <c r="B1803">
        <f>HYPERLINK("https://www.suredividend.com/sure-analysis-research-database/","Vincerx Pharma Inc")</f>
        <v>0</v>
      </c>
      <c r="C1803">
        <v>0.6317016317016321</v>
      </c>
      <c r="D1803">
        <v>-0.146341463414634</v>
      </c>
      <c r="E1803">
        <v>-0.326923076923076</v>
      </c>
      <c r="F1803">
        <v>0.029411764705882</v>
      </c>
      <c r="G1803">
        <v>-0.8893572181243411</v>
      </c>
      <c r="H1803">
        <v>-0.9509345794392521</v>
      </c>
      <c r="I1803">
        <v>-0.8877005347593581</v>
      </c>
    </row>
    <row r="1804" spans="1:9">
      <c r="A1804" s="1" t="s">
        <v>1816</v>
      </c>
      <c r="B1804">
        <f>HYPERLINK("https://www.suredividend.com/sure-analysis-research-database/","Vir Biotechnology Inc")</f>
        <v>0</v>
      </c>
      <c r="C1804">
        <v>0.026357199055861</v>
      </c>
      <c r="D1804">
        <v>0.265890344492964</v>
      </c>
      <c r="E1804">
        <v>-0.123319892473118</v>
      </c>
      <c r="F1804">
        <v>0.030817858553931</v>
      </c>
      <c r="G1804">
        <v>-0.224204579244722</v>
      </c>
      <c r="H1804">
        <v>-0.06218547807332801</v>
      </c>
      <c r="I1804">
        <v>0.8609129814550641</v>
      </c>
    </row>
    <row r="1805" spans="1:9">
      <c r="A1805" s="1" t="s">
        <v>1817</v>
      </c>
      <c r="B1805">
        <f>HYPERLINK("https://www.suredividend.com/sure-analysis-research-database/","Viracta Therapeutics Inc")</f>
        <v>0</v>
      </c>
      <c r="C1805">
        <v>0.181286549707602</v>
      </c>
      <c r="D1805">
        <v>-0.503685503685503</v>
      </c>
      <c r="E1805">
        <v>-0.5540838852097131</v>
      </c>
      <c r="F1805">
        <v>0.383561643835616</v>
      </c>
      <c r="G1805">
        <v>-0.39156626506024</v>
      </c>
      <c r="H1805">
        <v>-0.76151121605667</v>
      </c>
      <c r="I1805">
        <v>-0.98485189351331</v>
      </c>
    </row>
    <row r="1806" spans="1:9">
      <c r="A1806" s="1" t="s">
        <v>1818</v>
      </c>
      <c r="B1806">
        <f>HYPERLINK("https://www.suredividend.com/sure-analysis-research-database/","Vital Farms Inc")</f>
        <v>0</v>
      </c>
      <c r="C1806">
        <v>0.009259259259259</v>
      </c>
      <c r="D1806">
        <v>0.32811140121845</v>
      </c>
      <c r="E1806">
        <v>0.6461704422869471</v>
      </c>
      <c r="F1806">
        <v>0.022788203753351</v>
      </c>
      <c r="G1806">
        <v>-0.17558076715289</v>
      </c>
      <c r="H1806">
        <v>-0.438144329896907</v>
      </c>
      <c r="I1806">
        <v>-0.5672149744753261</v>
      </c>
    </row>
    <row r="1807" spans="1:9">
      <c r="A1807" s="1" t="s">
        <v>1819</v>
      </c>
      <c r="B1807">
        <f>HYPERLINK("https://www.suredividend.com/sure-analysis-research-database/","Meridian Bioscience Inc.")</f>
        <v>0</v>
      </c>
      <c r="C1807">
        <v>0.07768860353130001</v>
      </c>
      <c r="D1807">
        <v>0.05632473253618601</v>
      </c>
      <c r="E1807">
        <v>0.017272727272727</v>
      </c>
      <c r="F1807">
        <v>0.010840108401084</v>
      </c>
      <c r="G1807">
        <v>0.6367625548512911</v>
      </c>
      <c r="H1807">
        <v>0.5477178423236511</v>
      </c>
      <c r="I1807">
        <v>1.356715621577602</v>
      </c>
    </row>
    <row r="1808" spans="1:9">
      <c r="A1808" s="1" t="s">
        <v>1820</v>
      </c>
      <c r="B1808">
        <f>HYPERLINK("https://www.suredividend.com/sure-analysis-research-database/","Viking Therapeutics Inc")</f>
        <v>0</v>
      </c>
      <c r="C1808">
        <v>1.288043478260869</v>
      </c>
      <c r="D1808">
        <v>1.933797909407665</v>
      </c>
      <c r="E1808">
        <v>1.469208211143695</v>
      </c>
      <c r="F1808">
        <v>-0.104255319148936</v>
      </c>
      <c r="G1808">
        <v>1.004761904761904</v>
      </c>
      <c r="H1808">
        <v>0.268072289156626</v>
      </c>
      <c r="I1808">
        <v>0.64453125</v>
      </c>
    </row>
    <row r="1809" spans="1:9">
      <c r="A1809" s="1" t="s">
        <v>1821</v>
      </c>
      <c r="B1809">
        <f>HYPERLINK("https://www.suredividend.com/sure-analysis-research-database/","Velodyne Lidar Inc")</f>
        <v>0</v>
      </c>
      <c r="C1809">
        <v>-0.150490196078431</v>
      </c>
      <c r="D1809">
        <v>-0.053005464480874</v>
      </c>
      <c r="E1809">
        <v>-0.174761904761904</v>
      </c>
      <c r="F1809">
        <v>0.173006633274671</v>
      </c>
      <c r="G1809">
        <v>-0.7951536643026</v>
      </c>
      <c r="H1809">
        <v>-0.9638053467000831</v>
      </c>
      <c r="I1809">
        <v>-0.9089810924369741</v>
      </c>
    </row>
    <row r="1810" spans="1:9">
      <c r="A1810" s="1" t="s">
        <v>1822</v>
      </c>
      <c r="B1810">
        <f>HYPERLINK("https://www.suredividend.com/sure-analysis-research-database/","Village Super Market, Inc.")</f>
        <v>0</v>
      </c>
      <c r="C1810">
        <v>-0.040636094487658</v>
      </c>
      <c r="D1810">
        <v>0.191759178847582</v>
      </c>
      <c r="E1810">
        <v>0.031142495020822</v>
      </c>
      <c r="F1810">
        <v>-0.01138770266986</v>
      </c>
      <c r="G1810">
        <v>0.04193824297560701</v>
      </c>
      <c r="H1810">
        <v>0.121974043884059</v>
      </c>
      <c r="I1810">
        <v>0.219505666579227</v>
      </c>
    </row>
    <row r="1811" spans="1:9">
      <c r="A1811" s="1" t="s">
        <v>1823</v>
      </c>
      <c r="B1811">
        <f>HYPERLINK("https://www.suredividend.com/sure-analysis-research-database/","Valley National Bancorp")</f>
        <v>0</v>
      </c>
      <c r="C1811">
        <v>-0.041409387279243</v>
      </c>
      <c r="D1811">
        <v>0.004115970871590001</v>
      </c>
      <c r="E1811">
        <v>0.07328298894808501</v>
      </c>
      <c r="F1811">
        <v>-0.018567639257294</v>
      </c>
      <c r="G1811">
        <v>-0.21555879068847</v>
      </c>
      <c r="H1811">
        <v>0.124631455232575</v>
      </c>
      <c r="I1811">
        <v>0.169553673030724</v>
      </c>
    </row>
    <row r="1812" spans="1:9">
      <c r="A1812" s="1" t="s">
        <v>1824</v>
      </c>
      <c r="B1812">
        <f>HYPERLINK("https://www.suredividend.com/sure-analysis-research-database/","Viemed Healthcare Inc")</f>
        <v>0</v>
      </c>
      <c r="C1812">
        <v>0.09943977591036401</v>
      </c>
      <c r="D1812">
        <v>0.323777403035413</v>
      </c>
      <c r="E1812">
        <v>0.202143950995405</v>
      </c>
      <c r="F1812">
        <v>0.038359788359788</v>
      </c>
      <c r="G1812">
        <v>0.429872495446265</v>
      </c>
      <c r="H1812">
        <v>-0.030864197530864</v>
      </c>
      <c r="I1812">
        <v>0.118233618233618</v>
      </c>
    </row>
    <row r="1813" spans="1:9">
      <c r="A1813" s="1" t="s">
        <v>1825</v>
      </c>
      <c r="B1813">
        <f>HYPERLINK("https://www.suredividend.com/sure-analysis-research-database/","Vanda Pharmaceuticals Inc")</f>
        <v>0</v>
      </c>
      <c r="C1813">
        <v>-0.289248334919124</v>
      </c>
      <c r="D1813">
        <v>-0.243161094224923</v>
      </c>
      <c r="E1813">
        <v>-0.364795918367346</v>
      </c>
      <c r="F1813">
        <v>0.010825439783491</v>
      </c>
      <c r="G1813">
        <v>-0.5143042912873861</v>
      </c>
      <c r="H1813">
        <v>-0.4586956521739131</v>
      </c>
      <c r="I1813">
        <v>-0.473943661971831</v>
      </c>
    </row>
    <row r="1814" spans="1:9">
      <c r="A1814" s="1" t="s">
        <v>1826</v>
      </c>
      <c r="B1814">
        <f>HYPERLINK("https://www.suredividend.com/sure-analysis-research-database/","Vor Biopharma Inc")</f>
        <v>0</v>
      </c>
      <c r="C1814">
        <v>-0.05864197530864201</v>
      </c>
      <c r="D1814">
        <v>0.5521628498727731</v>
      </c>
      <c r="E1814">
        <v>0.105072463768115</v>
      </c>
      <c r="F1814">
        <v>-0.08270676691729301</v>
      </c>
      <c r="G1814">
        <v>-0.4234404536862</v>
      </c>
      <c r="H1814">
        <v>-0.837333333333333</v>
      </c>
      <c r="I1814">
        <v>-0.837333333333333</v>
      </c>
    </row>
    <row r="1815" spans="1:9">
      <c r="A1815" s="1" t="s">
        <v>1827</v>
      </c>
      <c r="B1815">
        <f>HYPERLINK("https://www.suredividend.com/sure-analysis-research-database/","VOXX International Corp")</f>
        <v>0</v>
      </c>
      <c r="C1815">
        <v>-0.036131774707757</v>
      </c>
      <c r="D1815">
        <v>0.261474269819193</v>
      </c>
      <c r="E1815">
        <v>-0.09840954274353801</v>
      </c>
      <c r="F1815">
        <v>0.082338902147971</v>
      </c>
      <c r="G1815">
        <v>-0.053235908141962</v>
      </c>
      <c r="H1815">
        <v>-0.379616963064295</v>
      </c>
      <c r="I1815">
        <v>0.6342342342342341</v>
      </c>
    </row>
    <row r="1816" spans="1:9">
      <c r="A1816" s="1" t="s">
        <v>1828</v>
      </c>
      <c r="B1816">
        <f>HYPERLINK("https://www.suredividend.com/sure-analysis-research-database/","Vishay Precision Group Inc")</f>
        <v>0</v>
      </c>
      <c r="C1816">
        <v>0.027664974619289</v>
      </c>
      <c r="D1816">
        <v>0.286213468869123</v>
      </c>
      <c r="E1816">
        <v>0.408347826086956</v>
      </c>
      <c r="F1816">
        <v>0.04760672703751601</v>
      </c>
      <c r="G1816">
        <v>0.1661866359447</v>
      </c>
      <c r="H1816">
        <v>0.180122413290585</v>
      </c>
      <c r="I1816">
        <v>0.5483747609942641</v>
      </c>
    </row>
    <row r="1817" spans="1:9">
      <c r="A1817" s="1" t="s">
        <v>1829</v>
      </c>
      <c r="B1817">
        <f>HYPERLINK("https://www.suredividend.com/sure-analysis-research-database/","Vera Bradley Inc")</f>
        <v>0</v>
      </c>
      <c r="C1817">
        <v>0.106609808102345</v>
      </c>
      <c r="D1817">
        <v>0.718543046357616</v>
      </c>
      <c r="E1817">
        <v>0.193103448275862</v>
      </c>
      <c r="F1817">
        <v>0.14569536423841</v>
      </c>
      <c r="G1817">
        <v>-0.374698795180722</v>
      </c>
      <c r="H1817">
        <v>-0.349624060150375</v>
      </c>
      <c r="I1817">
        <v>-0.5370205173951821</v>
      </c>
    </row>
    <row r="1818" spans="1:9">
      <c r="A1818" s="1" t="s">
        <v>1830</v>
      </c>
      <c r="B1818">
        <f>HYPERLINK("https://www.suredividend.com/sure-analysis-research-database/","ViewRay Inc.")</f>
        <v>0</v>
      </c>
      <c r="C1818">
        <v>0.006550218340611</v>
      </c>
      <c r="D1818">
        <v>0.232620320855615</v>
      </c>
      <c r="E1818">
        <v>0.552188552188552</v>
      </c>
      <c r="F1818">
        <v>0.029017857142857</v>
      </c>
      <c r="G1818">
        <v>-0.021231422505307</v>
      </c>
      <c r="H1818">
        <v>-0.126893939393939</v>
      </c>
      <c r="I1818">
        <v>-0.495071193866374</v>
      </c>
    </row>
    <row r="1819" spans="1:9">
      <c r="A1819" s="1" t="s">
        <v>1831</v>
      </c>
      <c r="B1819">
        <f>HYPERLINK("https://www.suredividend.com/sure-analysis-research-database/","Verrica Pharmaceuticals Inc")</f>
        <v>0</v>
      </c>
      <c r="C1819">
        <v>0.404530744336569</v>
      </c>
      <c r="D1819">
        <v>0.7860082304526741</v>
      </c>
      <c r="E1819">
        <v>0.257971014492753</v>
      </c>
      <c r="F1819">
        <v>0.578181818181818</v>
      </c>
      <c r="G1819">
        <v>-0.5214994487320831</v>
      </c>
      <c r="H1819">
        <v>-0.6416184971098261</v>
      </c>
      <c r="I1819">
        <v>-0.752</v>
      </c>
    </row>
    <row r="1820" spans="1:9">
      <c r="A1820" s="1" t="s">
        <v>1832</v>
      </c>
      <c r="B1820">
        <f>HYPERLINK("https://www.suredividend.com/sure-analysis-research-database/","Veris Residential Inc")</f>
        <v>0</v>
      </c>
      <c r="C1820">
        <v>0.020560747663551</v>
      </c>
      <c r="D1820">
        <v>0.579556412729026</v>
      </c>
      <c r="E1820">
        <v>0.268783888458559</v>
      </c>
      <c r="F1820">
        <v>0.028248587570621</v>
      </c>
      <c r="G1820">
        <v>-0.158705701078582</v>
      </c>
      <c r="H1820">
        <v>0.341523341523341</v>
      </c>
      <c r="I1820">
        <v>-0.14201307408649</v>
      </c>
    </row>
    <row r="1821" spans="1:9">
      <c r="A1821" s="1" t="s">
        <v>1833</v>
      </c>
      <c r="B1821">
        <f>HYPERLINK("https://www.suredividend.com/sure-analysis-research-database/","Varex Imaging Corp")</f>
        <v>0</v>
      </c>
      <c r="C1821">
        <v>-0.000497017892644</v>
      </c>
      <c r="D1821">
        <v>-0.05498120300751801</v>
      </c>
      <c r="E1821">
        <v>-0.06465116279069701</v>
      </c>
      <c r="F1821">
        <v>-0.009359605911330001</v>
      </c>
      <c r="G1821">
        <v>-0.32809889742733</v>
      </c>
      <c r="H1821">
        <v>0.094124047878128</v>
      </c>
      <c r="I1821">
        <v>-0.496872654490868</v>
      </c>
    </row>
    <row r="1822" spans="1:9">
      <c r="A1822" s="1" t="s">
        <v>1834</v>
      </c>
      <c r="B1822">
        <f>HYPERLINK("https://www.suredividend.com/sure-analysis-research-database/","Varonis Systems Inc")</f>
        <v>0</v>
      </c>
      <c r="C1822">
        <v>0.119642016015073</v>
      </c>
      <c r="D1822">
        <v>-0.08188489764387701</v>
      </c>
      <c r="E1822">
        <v>-0.260883084577114</v>
      </c>
      <c r="F1822">
        <v>-0.007101086048454001</v>
      </c>
      <c r="G1822">
        <v>-0.45817187143834</v>
      </c>
      <c r="H1822">
        <v>-0.588777803343407</v>
      </c>
      <c r="I1822">
        <v>0.367404347851098</v>
      </c>
    </row>
    <row r="1823" spans="1:9">
      <c r="A1823" s="1" t="s">
        <v>1835</v>
      </c>
      <c r="B1823">
        <f>HYPERLINK("https://www.suredividend.com/sure-analysis-research-database/","Verint Systems, Inc.")</f>
        <v>0</v>
      </c>
      <c r="C1823">
        <v>-0.017886178861788</v>
      </c>
      <c r="D1823">
        <v>0.023728813559322</v>
      </c>
      <c r="E1823">
        <v>-0.164784512560497</v>
      </c>
      <c r="F1823">
        <v>-0.001102535832414</v>
      </c>
      <c r="G1823">
        <v>-0.307339449541284</v>
      </c>
      <c r="H1823">
        <v>-0.079941506214964</v>
      </c>
      <c r="I1823">
        <v>0.501105947262469</v>
      </c>
    </row>
    <row r="1824" spans="1:9">
      <c r="A1824" s="1" t="s">
        <v>1836</v>
      </c>
      <c r="B1824">
        <f>HYPERLINK("https://www.suredividend.com/sure-analysis-research-database/","Verra Mobility Corp")</f>
        <v>0</v>
      </c>
      <c r="C1824">
        <v>-0.02510460251046</v>
      </c>
      <c r="D1824">
        <v>-0.139692307692307</v>
      </c>
      <c r="E1824">
        <v>-0.133292002479851</v>
      </c>
      <c r="F1824">
        <v>0.010845986984815</v>
      </c>
      <c r="G1824">
        <v>-0.07478491065519501</v>
      </c>
      <c r="H1824">
        <v>0.083720930232558</v>
      </c>
      <c r="I1824">
        <v>0.400801603206412</v>
      </c>
    </row>
    <row r="1825" spans="1:9">
      <c r="A1825" s="1" t="s">
        <v>1837</v>
      </c>
      <c r="B1825">
        <f>HYPERLINK("https://www.suredividend.com/sure-analysis-research-database/","Virtus Investment Partners Inc")</f>
        <v>0</v>
      </c>
      <c r="C1825">
        <v>0.07477270352178901</v>
      </c>
      <c r="D1825">
        <v>0.326104840227866</v>
      </c>
      <c r="E1825">
        <v>0.196240702076802</v>
      </c>
      <c r="F1825">
        <v>0.07443585457584601</v>
      </c>
      <c r="G1825">
        <v>-0.267983932587188</v>
      </c>
      <c r="H1825">
        <v>-0.07854270962828501</v>
      </c>
      <c r="I1825">
        <v>0.8049394741114161</v>
      </c>
    </row>
    <row r="1826" spans="1:9">
      <c r="A1826" s="1" t="s">
        <v>1838</v>
      </c>
      <c r="B1826">
        <f>HYPERLINK("https://www.suredividend.com/sure-analysis-research-database/","Veritiv Corp")</f>
        <v>0</v>
      </c>
      <c r="C1826">
        <v>-0.197264218862491</v>
      </c>
      <c r="D1826">
        <v>0.08594658506321801</v>
      </c>
      <c r="E1826">
        <v>0.069466398612667</v>
      </c>
      <c r="F1826">
        <v>-0.08388793032618501</v>
      </c>
      <c r="G1826">
        <v>0.046102634396042</v>
      </c>
      <c r="H1826">
        <v>3.920868897460567</v>
      </c>
      <c r="I1826">
        <v>3.00170835262408</v>
      </c>
    </row>
    <row r="1827" spans="1:9">
      <c r="A1827" s="1" t="s">
        <v>1839</v>
      </c>
      <c r="B1827">
        <f>HYPERLINK("https://www.suredividend.com/sure-analysis-research-database/","VSE Corp.")</f>
        <v>0</v>
      </c>
      <c r="C1827">
        <v>0.087863323718659</v>
      </c>
      <c r="D1827">
        <v>0.345089722943889</v>
      </c>
      <c r="E1827">
        <v>0.4051971947644</v>
      </c>
      <c r="F1827">
        <v>0.045861774744027</v>
      </c>
      <c r="G1827">
        <v>-0.161061480522013</v>
      </c>
      <c r="H1827">
        <v>0.242716182684094</v>
      </c>
      <c r="I1827">
        <v>0.049010147777138</v>
      </c>
    </row>
    <row r="1828" spans="1:9">
      <c r="A1828" s="1" t="s">
        <v>1840</v>
      </c>
      <c r="B1828">
        <f>HYPERLINK("https://www.suredividend.com/sure-analysis-research-database/","Vishay Intertechnology, Inc.")</f>
        <v>0</v>
      </c>
      <c r="C1828">
        <v>0.009954751131221001</v>
      </c>
      <c r="D1828">
        <v>0.187606748926524</v>
      </c>
      <c r="E1828">
        <v>0.236448644725981</v>
      </c>
      <c r="F1828">
        <v>0.034770514603616</v>
      </c>
      <c r="G1828">
        <v>0.065073510113903</v>
      </c>
      <c r="H1828">
        <v>0.028936535083877</v>
      </c>
      <c r="I1828">
        <v>0.151126629086576</v>
      </c>
    </row>
    <row r="1829" spans="1:9">
      <c r="A1829" s="1" t="s">
        <v>1841</v>
      </c>
      <c r="B1829">
        <f>HYPERLINK("https://www.suredividend.com/sure-analysis-research-database/","Verastem Inc")</f>
        <v>0</v>
      </c>
      <c r="C1829">
        <v>-0.022222222222222</v>
      </c>
      <c r="D1829">
        <v>-0.09278350515463901</v>
      </c>
      <c r="E1829">
        <v>-0.630252100840336</v>
      </c>
      <c r="F1829">
        <v>0.09316770186335301</v>
      </c>
      <c r="G1829">
        <v>-0.7671957671957671</v>
      </c>
      <c r="H1829">
        <v>-0.826086956521739</v>
      </c>
      <c r="I1829">
        <v>-0.850340136054421</v>
      </c>
    </row>
    <row r="1830" spans="1:9">
      <c r="A1830" s="1" t="s">
        <v>1842</v>
      </c>
      <c r="B1830">
        <f>HYPERLINK("https://www.suredividend.com/sure-analysis-research-database/","Vista Outdoor Inc")</f>
        <v>0</v>
      </c>
      <c r="C1830">
        <v>-0.035016586804275</v>
      </c>
      <c r="D1830">
        <v>0.03192747339377201</v>
      </c>
      <c r="E1830">
        <v>-0.02712746191007</v>
      </c>
      <c r="F1830">
        <v>0.074271645465736</v>
      </c>
      <c r="G1830">
        <v>-0.440956651718983</v>
      </c>
      <c r="H1830">
        <v>-0.06164874551971301</v>
      </c>
      <c r="I1830">
        <v>0.8256624825662481</v>
      </c>
    </row>
    <row r="1831" spans="1:9">
      <c r="A1831" s="1" t="s">
        <v>1843</v>
      </c>
      <c r="B1831">
        <f>HYPERLINK("https://www.suredividend.com/sure-analysis-research-database/","VistaGen Therapeutics Inc")</f>
        <v>0</v>
      </c>
      <c r="C1831">
        <v>0.267521367521367</v>
      </c>
      <c r="D1831">
        <v>0.045839210155147</v>
      </c>
      <c r="E1831">
        <v>-0.840691803630894</v>
      </c>
      <c r="F1831">
        <v>0.4398058252427181</v>
      </c>
      <c r="G1831">
        <v>-0.9157386363636361</v>
      </c>
      <c r="H1831">
        <v>-0.9316589861751151</v>
      </c>
      <c r="I1831">
        <v>-0.8753781512605041</v>
      </c>
    </row>
    <row r="1832" spans="1:9">
      <c r="A1832" s="1" t="s">
        <v>1844</v>
      </c>
      <c r="B1832">
        <f>HYPERLINK("https://www.suredividend.com/sure-analysis-research-database/","Bristow Group Inc.")</f>
        <v>0</v>
      </c>
      <c r="C1832">
        <v>0.171834625322997</v>
      </c>
      <c r="D1832">
        <v>0.08061953931691801</v>
      </c>
      <c r="E1832">
        <v>0.135168961201501</v>
      </c>
      <c r="F1832">
        <v>0.00294876520457</v>
      </c>
      <c r="G1832">
        <v>-0.188971684053651</v>
      </c>
      <c r="H1832">
        <v>-0.016979768786127</v>
      </c>
      <c r="I1832">
        <v>1.471389645776566</v>
      </c>
    </row>
    <row r="1833" spans="1:9">
      <c r="A1833" s="1" t="s">
        <v>1845</v>
      </c>
      <c r="B1833">
        <f>HYPERLINK("https://www.suredividend.com/sure-analysis-research-database/","Ventyx Biosciences Inc")</f>
        <v>0</v>
      </c>
      <c r="C1833">
        <v>0.179373848987108</v>
      </c>
      <c r="D1833">
        <v>-0.06456324861232801</v>
      </c>
      <c r="E1833">
        <v>1.300287356321839</v>
      </c>
      <c r="F1833">
        <v>-0.023482769136931</v>
      </c>
      <c r="G1833">
        <v>1.110744891232696</v>
      </c>
      <c r="H1833">
        <v>0.523311132254995</v>
      </c>
      <c r="I1833">
        <v>0.523311132254995</v>
      </c>
    </row>
    <row r="1834" spans="1:9">
      <c r="A1834" s="1" t="s">
        <v>1846</v>
      </c>
      <c r="B1834">
        <f>HYPERLINK("https://www.suredividend.com/sure-analysis-research-database/","Vuzix Corporation")</f>
        <v>0</v>
      </c>
      <c r="C1834">
        <v>0.04314720812182701</v>
      </c>
      <c r="D1834">
        <v>-0.234636871508379</v>
      </c>
      <c r="E1834">
        <v>-0.4331034482758621</v>
      </c>
      <c r="F1834">
        <v>0.129120879120879</v>
      </c>
      <c r="G1834">
        <v>-0.484316185696361</v>
      </c>
      <c r="H1834">
        <v>-0.54485049833887</v>
      </c>
      <c r="I1834">
        <v>-0.530285714285714</v>
      </c>
    </row>
    <row r="1835" spans="1:9">
      <c r="A1835" s="1" t="s">
        <v>1847</v>
      </c>
      <c r="B1835">
        <f>HYPERLINK("https://www.suredividend.com/sure-analysis-research-database/","Viad Corp.")</f>
        <v>0</v>
      </c>
      <c r="C1835">
        <v>-0.122671353251318</v>
      </c>
      <c r="D1835">
        <v>-0.259347181008902</v>
      </c>
      <c r="E1835">
        <v>-0.08032424465733201</v>
      </c>
      <c r="F1835">
        <v>0.023370233702336</v>
      </c>
      <c r="G1835">
        <v>-0.4089509827137101</v>
      </c>
      <c r="H1835">
        <v>-0.291713961407491</v>
      </c>
      <c r="I1835">
        <v>-0.5358386146567881</v>
      </c>
    </row>
    <row r="1836" spans="1:9">
      <c r="A1836" s="1" t="s">
        <v>1848</v>
      </c>
      <c r="B1836">
        <f>HYPERLINK("https://www.suredividend.com/sure-analysis-research-database/","Vivint Smart Home Inc")</f>
        <v>0</v>
      </c>
      <c r="C1836">
        <v>0.005050505050504001</v>
      </c>
      <c r="D1836">
        <v>0.845440494590417</v>
      </c>
      <c r="E1836">
        <v>2.109375</v>
      </c>
      <c r="F1836">
        <v>0.003361344537815</v>
      </c>
      <c r="G1836">
        <v>0.587765957446808</v>
      </c>
      <c r="H1836">
        <v>-0.5041528239202651</v>
      </c>
      <c r="I1836">
        <v>0.231880319834923</v>
      </c>
    </row>
    <row r="1837" spans="1:9">
      <c r="A1837" s="1" t="s">
        <v>1849</v>
      </c>
      <c r="B1837">
        <f>HYPERLINK("https://www.suredividend.com/sure-analysis-research-database/","Vaxart Inc")</f>
        <v>0</v>
      </c>
      <c r="C1837">
        <v>-0.062427184466019</v>
      </c>
      <c r="D1837">
        <v>-0.4996373056994811</v>
      </c>
      <c r="E1837">
        <v>-0.7844419642857141</v>
      </c>
      <c r="F1837">
        <v>0.004995316890415</v>
      </c>
      <c r="G1837">
        <v>-0.8416885245901641</v>
      </c>
      <c r="H1837">
        <v>-0.852564885496183</v>
      </c>
      <c r="I1837">
        <v>0.6510514617883401</v>
      </c>
    </row>
    <row r="1838" spans="1:9">
      <c r="A1838" s="1" t="s">
        <v>1850</v>
      </c>
      <c r="B1838">
        <f>HYPERLINK("https://www.suredividend.com/sure-analysis-WABC/","Westamerica Bancorporation")</f>
        <v>0</v>
      </c>
      <c r="C1838">
        <v>-0.008922443376801001</v>
      </c>
      <c r="D1838">
        <v>0.113815086640775</v>
      </c>
      <c r="E1838">
        <v>0.056845710772653</v>
      </c>
      <c r="F1838">
        <v>-0.021182850364344</v>
      </c>
      <c r="G1838">
        <v>-0.002130148073796</v>
      </c>
      <c r="H1838">
        <v>0.007057773314363001</v>
      </c>
      <c r="I1838">
        <v>0.131289074129205</v>
      </c>
    </row>
    <row r="1839" spans="1:9">
      <c r="A1839" s="1" t="s">
        <v>1851</v>
      </c>
      <c r="B1839">
        <f>HYPERLINK("https://www.suredividend.com/sure-analysis-WAFD/","Washington Federal Inc.")</f>
        <v>0</v>
      </c>
      <c r="C1839">
        <v>0.0008933889219770001</v>
      </c>
      <c r="D1839">
        <v>0.08535242468571201</v>
      </c>
      <c r="E1839">
        <v>0.12083397250772</v>
      </c>
      <c r="F1839">
        <v>0.001788375558867</v>
      </c>
      <c r="G1839">
        <v>-0.039939214241235</v>
      </c>
      <c r="H1839">
        <v>0.24829617414493</v>
      </c>
      <c r="I1839">
        <v>0.114312332364125</v>
      </c>
    </row>
    <row r="1840" spans="1:9">
      <c r="A1840" s="1" t="s">
        <v>1852</v>
      </c>
      <c r="B1840">
        <f>HYPERLINK("https://www.suredividend.com/sure-analysis-WASH/","Washington Trust Bancorp, Inc.")</f>
        <v>0</v>
      </c>
      <c r="C1840">
        <v>-0.001073523693597</v>
      </c>
      <c r="D1840">
        <v>0.018712676475215</v>
      </c>
      <c r="E1840">
        <v>-0.002713160304312</v>
      </c>
      <c r="F1840">
        <v>0.001907587961</v>
      </c>
      <c r="G1840">
        <v>-0.183251030655299</v>
      </c>
      <c r="H1840">
        <v>0.089921397460462</v>
      </c>
      <c r="I1840">
        <v>0.076733490807789</v>
      </c>
    </row>
    <row r="1841" spans="1:9">
      <c r="A1841" s="1" t="s">
        <v>1853</v>
      </c>
      <c r="B1841">
        <f>HYPERLINK("https://www.suredividend.com/sure-analysis-research-database/","Welbilt Inc")</f>
        <v>0</v>
      </c>
      <c r="C1841">
        <v>0.007130872483221</v>
      </c>
      <c r="D1841">
        <v>0.01522198731501</v>
      </c>
      <c r="E1841">
        <v>0.012225969645868</v>
      </c>
      <c r="F1841">
        <v>0.010096760622633</v>
      </c>
      <c r="G1841">
        <v>0.027385537013264</v>
      </c>
      <c r="H1841">
        <v>2.775157232704402</v>
      </c>
      <c r="I1841">
        <v>0.232546201232032</v>
      </c>
    </row>
    <row r="1842" spans="1:9">
      <c r="A1842" s="1" t="s">
        <v>1854</v>
      </c>
      <c r="B1842">
        <f>HYPERLINK("https://www.suredividend.com/sure-analysis-research-database/","Wesco International, Inc.")</f>
        <v>0</v>
      </c>
      <c r="C1842">
        <v>0.092093330035452</v>
      </c>
      <c r="D1842">
        <v>0.065219139525532</v>
      </c>
      <c r="E1842">
        <v>0.238291109656913</v>
      </c>
      <c r="F1842">
        <v>0.05798722044728401</v>
      </c>
      <c r="G1842">
        <v>0.029295205532675</v>
      </c>
      <c r="H1842">
        <v>0.5490585896386381</v>
      </c>
      <c r="I1842">
        <v>0.9755406413124531</v>
      </c>
    </row>
    <row r="1843" spans="1:9">
      <c r="A1843" s="1" t="s">
        <v>1855</v>
      </c>
      <c r="B1843">
        <f>HYPERLINK("https://www.suredividend.com/sure-analysis-research-database/","Walker &amp; Dunlop Inc")</f>
        <v>0</v>
      </c>
      <c r="C1843">
        <v>0.03960886248298</v>
      </c>
      <c r="D1843">
        <v>-0.013366945502003</v>
      </c>
      <c r="E1843">
        <v>-0.144788289535849</v>
      </c>
      <c r="F1843">
        <v>0.07020897043832801</v>
      </c>
      <c r="G1843">
        <v>-0.421731308509341</v>
      </c>
      <c r="H1843">
        <v>-0.013569728957759</v>
      </c>
      <c r="I1843">
        <v>0.9617231585634731</v>
      </c>
    </row>
    <row r="1844" spans="1:9">
      <c r="A1844" s="1" t="s">
        <v>1856</v>
      </c>
      <c r="B1844">
        <f>HYPERLINK("https://www.suredividend.com/sure-analysis-WDFC/","WD-40 Co.")</f>
        <v>0</v>
      </c>
      <c r="C1844">
        <v>-0.022131344719749</v>
      </c>
      <c r="D1844">
        <v>-0.07486167019899501</v>
      </c>
      <c r="E1844">
        <v>-0.05854997009477601</v>
      </c>
      <c r="F1844">
        <v>0.008622293902363</v>
      </c>
      <c r="G1844">
        <v>-0.314049663479346</v>
      </c>
      <c r="H1844">
        <v>-0.444926918791374</v>
      </c>
      <c r="I1844">
        <v>0.478212726266094</v>
      </c>
    </row>
    <row r="1845" spans="1:9">
      <c r="A1845" s="1" t="s">
        <v>1857</v>
      </c>
      <c r="B1845">
        <f>HYPERLINK("https://www.suredividend.com/sure-analysis-research-database/","Weber Inc")</f>
        <v>0</v>
      </c>
      <c r="C1845">
        <v>0.244615384615384</v>
      </c>
      <c r="D1845">
        <v>0.077230359520639</v>
      </c>
      <c r="E1845">
        <v>-0.001234567901234</v>
      </c>
      <c r="F1845">
        <v>0.004968944099378</v>
      </c>
      <c r="G1845">
        <v>-0.249222773885202</v>
      </c>
      <c r="H1845">
        <v>-0.5039548715433191</v>
      </c>
      <c r="I1845">
        <v>-0.5039548715433191</v>
      </c>
    </row>
    <row r="1846" spans="1:9">
      <c r="A1846" s="1" t="s">
        <v>1858</v>
      </c>
      <c r="B1846">
        <f>HYPERLINK("https://www.suredividend.com/sure-analysis-research-database/","Werner Enterprises, Inc.")</f>
        <v>0</v>
      </c>
      <c r="C1846">
        <v>0.010920465995992</v>
      </c>
      <c r="D1846">
        <v>0.14425135423365</v>
      </c>
      <c r="E1846">
        <v>0.100764221598806</v>
      </c>
      <c r="F1846">
        <v>0.07401887729756501</v>
      </c>
      <c r="G1846">
        <v>-0.047591777219293</v>
      </c>
      <c r="H1846">
        <v>0.04760751059963601</v>
      </c>
      <c r="I1846">
        <v>0.267466503299106</v>
      </c>
    </row>
    <row r="1847" spans="1:9">
      <c r="A1847" s="1" t="s">
        <v>1859</v>
      </c>
      <c r="B1847">
        <f>HYPERLINK("https://www.suredividend.com/sure-analysis-research-database/","Wisdomtree Investments Inc")</f>
        <v>0</v>
      </c>
      <c r="C1847">
        <v>0.062626262626262</v>
      </c>
      <c r="D1847">
        <v>-0.018620097764841</v>
      </c>
      <c r="E1847">
        <v>-0.039830601292395</v>
      </c>
      <c r="F1847">
        <v>-0.126216817834479</v>
      </c>
      <c r="G1847">
        <v>-0.200705081449064</v>
      </c>
      <c r="H1847">
        <v>0.457063711911357</v>
      </c>
      <c r="I1847">
        <v>-0.5244466946332991</v>
      </c>
    </row>
    <row r="1848" spans="1:9">
      <c r="A1848" s="1" t="s">
        <v>1860</v>
      </c>
      <c r="B1848">
        <f>HYPERLINK("https://www.suredividend.com/sure-analysis-WGO/","Winnebago Industries, Inc.")</f>
        <v>0</v>
      </c>
      <c r="C1848">
        <v>0.09745486186643401</v>
      </c>
      <c r="D1848">
        <v>0.117215339842733</v>
      </c>
      <c r="E1848">
        <v>0.14404713761447</v>
      </c>
      <c r="F1848">
        <v>0.153890138375328</v>
      </c>
      <c r="G1848">
        <v>-0.204055713470574</v>
      </c>
      <c r="H1848">
        <v>0.008603282708801001</v>
      </c>
      <c r="I1848">
        <v>0.159776780326323</v>
      </c>
    </row>
    <row r="1849" spans="1:9">
      <c r="A1849" s="1" t="s">
        <v>1861</v>
      </c>
      <c r="B1849">
        <f>HYPERLINK("https://www.suredividend.com/sure-analysis-research-database/","Cactus Inc")</f>
        <v>0</v>
      </c>
      <c r="C1849">
        <v>0.16649082084828</v>
      </c>
      <c r="D1849">
        <v>0.287077997671711</v>
      </c>
      <c r="E1849">
        <v>0.403979295876953</v>
      </c>
      <c r="F1849">
        <v>0.09988062077198501</v>
      </c>
      <c r="G1849">
        <v>0.30357067060316</v>
      </c>
      <c r="H1849">
        <v>0.836825561381473</v>
      </c>
      <c r="I1849">
        <v>1.804525391913145</v>
      </c>
    </row>
    <row r="1850" spans="1:9">
      <c r="A1850" s="1" t="s">
        <v>1862</v>
      </c>
      <c r="B1850">
        <f>HYPERLINK("https://www.suredividend.com/sure-analysis-research-database/","Winmark Corporation")</f>
        <v>0</v>
      </c>
      <c r="C1850">
        <v>0.030259849119865</v>
      </c>
      <c r="D1850">
        <v>0.135936193121167</v>
      </c>
      <c r="E1850">
        <v>0.234783089167895</v>
      </c>
      <c r="F1850">
        <v>0.042361022770639</v>
      </c>
      <c r="G1850">
        <v>0.063391215234413</v>
      </c>
      <c r="H1850">
        <v>0.351064660057357</v>
      </c>
      <c r="I1850">
        <v>0.926845404008891</v>
      </c>
    </row>
    <row r="1851" spans="1:9">
      <c r="A1851" s="1" t="s">
        <v>1863</v>
      </c>
      <c r="B1851">
        <f>HYPERLINK("https://www.suredividend.com/sure-analysis-research-database/","Wingstop Inc")</f>
        <v>0</v>
      </c>
      <c r="C1851">
        <v>-0.05998823760047001</v>
      </c>
      <c r="D1851">
        <v>0.123748233524022</v>
      </c>
      <c r="E1851">
        <v>0.557352468325172</v>
      </c>
      <c r="F1851">
        <v>0.04526958290946</v>
      </c>
      <c r="G1851">
        <v>-0.083945840407254</v>
      </c>
      <c r="H1851">
        <v>0.026114745094123</v>
      </c>
      <c r="I1851">
        <v>2.822107911776662</v>
      </c>
    </row>
    <row r="1852" spans="1:9">
      <c r="A1852" s="1" t="s">
        <v>1864</v>
      </c>
      <c r="B1852">
        <f>HYPERLINK("https://www.suredividend.com/sure-analysis-research-database/","Encore Wire Corp.")</f>
        <v>0</v>
      </c>
      <c r="C1852">
        <v>-0.017619067665696</v>
      </c>
      <c r="D1852">
        <v>0.111472596242725</v>
      </c>
      <c r="E1852">
        <v>0.323874158876437</v>
      </c>
      <c r="F1852">
        <v>0.00102006911459</v>
      </c>
      <c r="G1852">
        <v>0.06824990281936301</v>
      </c>
      <c r="H1852">
        <v>1.251019400491143</v>
      </c>
      <c r="I1852">
        <v>1.826240021020262</v>
      </c>
    </row>
    <row r="1853" spans="1:9">
      <c r="A1853" s="1" t="s">
        <v>1865</v>
      </c>
      <c r="B1853">
        <f>HYPERLINK("https://www.suredividend.com/sure-analysis-research-database/","Workiva Inc")</f>
        <v>0</v>
      </c>
      <c r="C1853">
        <v>0.111523212687044</v>
      </c>
      <c r="D1853">
        <v>0.15127831500861</v>
      </c>
      <c r="E1853">
        <v>0.197437310553871</v>
      </c>
      <c r="F1853">
        <v>0.03501250446588</v>
      </c>
      <c r="G1853">
        <v>-0.2418876482903</v>
      </c>
      <c r="H1853">
        <v>-0.08842039018250401</v>
      </c>
      <c r="I1853">
        <v>3.061214953271028</v>
      </c>
    </row>
    <row r="1854" spans="1:9">
      <c r="A1854" s="1" t="s">
        <v>1866</v>
      </c>
      <c r="B1854">
        <f>HYPERLINK("https://www.suredividend.com/sure-analysis-research-database/","Workhorse Group Inc")</f>
        <v>0</v>
      </c>
      <c r="C1854">
        <v>-0.08152173913043401</v>
      </c>
      <c r="D1854">
        <v>-0.31578947368421</v>
      </c>
      <c r="E1854">
        <v>-0.419243986254295</v>
      </c>
      <c r="F1854">
        <v>0.111842105263157</v>
      </c>
      <c r="G1854">
        <v>-0.588807785888077</v>
      </c>
      <c r="H1854">
        <v>-0.9338939956972421</v>
      </c>
      <c r="I1854">
        <v>-0.404929577464788</v>
      </c>
    </row>
    <row r="1855" spans="1:9">
      <c r="A1855" s="1" t="s">
        <v>1867</v>
      </c>
      <c r="B1855">
        <f>HYPERLINK("https://www.suredividend.com/sure-analysis-research-database/","Willdan Group Inc")</f>
        <v>0</v>
      </c>
      <c r="C1855">
        <v>0.210027100271002</v>
      </c>
      <c r="D1855">
        <v>0.338830584707646</v>
      </c>
      <c r="E1855">
        <v>-0.364638918534329</v>
      </c>
      <c r="F1855">
        <v>0.0005602240896350001</v>
      </c>
      <c r="G1855">
        <v>-0.4388941250392711</v>
      </c>
      <c r="H1855">
        <v>-0.6294605809128631</v>
      </c>
      <c r="I1855">
        <v>-0.241935483870967</v>
      </c>
    </row>
    <row r="1856" spans="1:9">
      <c r="A1856" s="1" t="s">
        <v>1868</v>
      </c>
      <c r="B1856">
        <f>HYPERLINK("https://www.suredividend.com/sure-analysis-research-database/","Willis Lease Finance Corp.")</f>
        <v>0</v>
      </c>
      <c r="C1856">
        <v>0.08677756817012501</v>
      </c>
      <c r="D1856">
        <v>0.7992617830777961</v>
      </c>
      <c r="E1856">
        <v>0.7220108695652171</v>
      </c>
      <c r="F1856">
        <v>0.073885782070835</v>
      </c>
      <c r="G1856">
        <v>0.7215430589513711</v>
      </c>
      <c r="H1856">
        <v>0.977223088923557</v>
      </c>
      <c r="I1856">
        <v>1.413175932977913</v>
      </c>
    </row>
    <row r="1857" spans="1:9">
      <c r="A1857" s="1" t="s">
        <v>1869</v>
      </c>
      <c r="B1857">
        <f>HYPERLINK("https://www.suredividend.com/sure-analysis-research-database/","Whiting Petroleum Corp")</f>
        <v>0</v>
      </c>
      <c r="C1857">
        <v>-0.230951842640741</v>
      </c>
      <c r="D1857">
        <v>-0.162533499275541</v>
      </c>
      <c r="E1857">
        <v>0.059330611431365</v>
      </c>
      <c r="F1857">
        <v>0.059330611431365</v>
      </c>
      <c r="G1857">
        <v>0.25604899384992</v>
      </c>
      <c r="H1857">
        <v>2.513710339698264</v>
      </c>
      <c r="I1857">
        <v>2.513710339698264</v>
      </c>
    </row>
    <row r="1858" spans="1:9">
      <c r="A1858" s="1" t="s">
        <v>1870</v>
      </c>
      <c r="B1858">
        <f>HYPERLINK("https://www.suredividend.com/sure-analysis-research-database/","Chord Energy Corp")</f>
        <v>0</v>
      </c>
      <c r="C1858">
        <v>0.7336956521739121</v>
      </c>
      <c r="D1858">
        <v>-0.182051282051282</v>
      </c>
      <c r="E1858">
        <v>-0.425225225225225</v>
      </c>
      <c r="F1858">
        <v>0.8228571428571421</v>
      </c>
      <c r="G1858">
        <v>-0.425225225225225</v>
      </c>
      <c r="H1858">
        <v>-0.425225225225225</v>
      </c>
      <c r="I1858">
        <v>-0.425225225225225</v>
      </c>
    </row>
    <row r="1859" spans="1:9">
      <c r="A1859" s="1" t="s">
        <v>1871</v>
      </c>
      <c r="B1859">
        <f>HYPERLINK("https://www.suredividend.com/sure-analysis-research-database/","Chord Energy Corp")</f>
        <v>0</v>
      </c>
      <c r="C1859">
        <v>0.5300546448087431</v>
      </c>
      <c r="D1859">
        <v>-0.213483146067415</v>
      </c>
      <c r="E1859">
        <v>-0.492753623188405</v>
      </c>
      <c r="F1859">
        <v>0.473684210526315</v>
      </c>
      <c r="G1859">
        <v>-0.492753623188405</v>
      </c>
      <c r="H1859">
        <v>-0.492753623188405</v>
      </c>
      <c r="I1859">
        <v>-0.492753623188405</v>
      </c>
    </row>
    <row r="1860" spans="1:9">
      <c r="A1860" s="1" t="s">
        <v>1872</v>
      </c>
      <c r="B1860">
        <f>HYPERLINK("https://www.suredividend.com/sure-analysis-WLY/","John Wiley &amp; Sons Inc.")</f>
        <v>0</v>
      </c>
      <c r="C1860">
        <v>0.04615354390652401</v>
      </c>
      <c r="D1860">
        <v>0.156511894969173</v>
      </c>
      <c r="E1860">
        <v>-0.07787417528183201</v>
      </c>
      <c r="F1860">
        <v>0.063404892661008</v>
      </c>
      <c r="G1860">
        <v>-0.242262540021344</v>
      </c>
      <c r="H1860">
        <v>-0.090099384215146</v>
      </c>
      <c r="I1860">
        <v>-0.280716446941862</v>
      </c>
    </row>
    <row r="1861" spans="1:9">
      <c r="A1861" s="1" t="s">
        <v>1873</v>
      </c>
      <c r="B1861">
        <f>HYPERLINK("https://www.suredividend.com/sure-analysis-research-database/","Weis Markets, Inc.")</f>
        <v>0</v>
      </c>
      <c r="C1861">
        <v>-0.024466969591051</v>
      </c>
      <c r="D1861">
        <v>0.157091034721022</v>
      </c>
      <c r="E1861">
        <v>0.124795473413558</v>
      </c>
      <c r="F1861">
        <v>0.017499088589135</v>
      </c>
      <c r="G1861">
        <v>0.285217618210703</v>
      </c>
      <c r="H1861">
        <v>0.836719920503129</v>
      </c>
      <c r="I1861">
        <v>1.349497999292877</v>
      </c>
    </row>
    <row r="1862" spans="1:9">
      <c r="A1862" s="1" t="s">
        <v>1874</v>
      </c>
      <c r="B1862">
        <f>HYPERLINK("https://www.suredividend.com/sure-analysis-research-database/","Wabash National Corp.")</f>
        <v>0</v>
      </c>
      <c r="C1862">
        <v>0.009350034023034</v>
      </c>
      <c r="D1862">
        <v>0.492166591116548</v>
      </c>
      <c r="E1862">
        <v>0.735657173399591</v>
      </c>
      <c r="F1862">
        <v>0.06696622827660301</v>
      </c>
      <c r="G1862">
        <v>0.198868483678326</v>
      </c>
      <c r="H1862">
        <v>0.382544157413267</v>
      </c>
      <c r="I1862">
        <v>0.250865403134711</v>
      </c>
    </row>
    <row r="1863" spans="1:9">
      <c r="A1863" s="1" t="s">
        <v>1875</v>
      </c>
      <c r="B1863">
        <f>HYPERLINK("https://www.suredividend.com/sure-analysis-WOR/","Worthington Industries, Inc.")</f>
        <v>0</v>
      </c>
      <c r="C1863">
        <v>-0.009902902494944001</v>
      </c>
      <c r="D1863">
        <v>0.220743591453366</v>
      </c>
      <c r="E1863">
        <v>0.193044684480876</v>
      </c>
      <c r="F1863">
        <v>0.031180848923757</v>
      </c>
      <c r="G1863">
        <v>-0.09825121250556301</v>
      </c>
      <c r="H1863">
        <v>-0.04294428128401501</v>
      </c>
      <c r="I1863">
        <v>0.265154207637325</v>
      </c>
    </row>
    <row r="1864" spans="1:9">
      <c r="A1864" s="1" t="s">
        <v>1876</v>
      </c>
      <c r="B1864">
        <f>HYPERLINK("https://www.suredividend.com/sure-analysis-research-database/","WideOpenWest Inc")</f>
        <v>0</v>
      </c>
      <c r="C1864">
        <v>0.027640671273445</v>
      </c>
      <c r="D1864">
        <v>-0.195517774343122</v>
      </c>
      <c r="E1864">
        <v>-0.433006535947712</v>
      </c>
      <c r="F1864">
        <v>0.142700329308452</v>
      </c>
      <c r="G1864">
        <v>-0.496615087040618</v>
      </c>
      <c r="H1864">
        <v>-0.044954128440366</v>
      </c>
      <c r="I1864">
        <v>-0.05018248175182401</v>
      </c>
    </row>
    <row r="1865" spans="1:9">
      <c r="A1865" s="1" t="s">
        <v>1877</v>
      </c>
      <c r="B1865">
        <f>HYPERLINK("https://www.suredividend.com/sure-analysis-research-database/","Elme Communities")</f>
        <v>0</v>
      </c>
      <c r="C1865">
        <v>-0.118856569709127</v>
      </c>
      <c r="D1865">
        <v>-0.161392556106035</v>
      </c>
      <c r="E1865">
        <v>-0.299058895808316</v>
      </c>
      <c r="F1865">
        <v>-0.309808419787325</v>
      </c>
      <c r="G1865">
        <v>-0.288052903706825</v>
      </c>
      <c r="H1865">
        <v>-0.005344081882203</v>
      </c>
      <c r="I1865">
        <v>-0.35085567345491</v>
      </c>
    </row>
    <row r="1866" spans="1:9">
      <c r="A1866" s="1" t="s">
        <v>1878</v>
      </c>
      <c r="B1866">
        <f>HYPERLINK("https://www.suredividend.com/sure-analysis-research-database/","World Acceptance Corp.")</f>
        <v>0</v>
      </c>
      <c r="C1866">
        <v>0.001557632398753</v>
      </c>
      <c r="D1866">
        <v>-0.261459747311266</v>
      </c>
      <c r="E1866">
        <v>-0.336740435108777</v>
      </c>
      <c r="F1866">
        <v>0.072641795571732</v>
      </c>
      <c r="G1866">
        <v>-0.6643413059984811</v>
      </c>
      <c r="H1866">
        <v>-0.429044236357765</v>
      </c>
      <c r="I1866">
        <v>-0.145669766880057</v>
      </c>
    </row>
    <row r="1867" spans="1:9">
      <c r="A1867" s="1" t="s">
        <v>1879</v>
      </c>
      <c r="B1867">
        <f>HYPERLINK("https://www.suredividend.com/sure-analysis-WSBC/","Wesbanco, Inc.")</f>
        <v>0</v>
      </c>
      <c r="C1867">
        <v>-0.03251821019771</v>
      </c>
      <c r="D1867">
        <v>0.05915489748781701</v>
      </c>
      <c r="E1867">
        <v>0.201250670232627</v>
      </c>
      <c r="F1867">
        <v>0.005678745267712001</v>
      </c>
      <c r="G1867">
        <v>0.01726533693666</v>
      </c>
      <c r="H1867">
        <v>0.26581847638886</v>
      </c>
      <c r="I1867">
        <v>0.098339643593363</v>
      </c>
    </row>
    <row r="1868" spans="1:9">
      <c r="A1868" s="1" t="s">
        <v>1880</v>
      </c>
      <c r="B1868">
        <f>HYPERLINK("https://www.suredividend.com/sure-analysis-research-database/","Waterstone Financial Inc")</f>
        <v>0</v>
      </c>
      <c r="C1868">
        <v>0.03513212028163201</v>
      </c>
      <c r="D1868">
        <v>0.08194851028352501</v>
      </c>
      <c r="E1868">
        <v>0.038464083943516</v>
      </c>
      <c r="F1868">
        <v>0.012916742469146</v>
      </c>
      <c r="G1868">
        <v>-0.169609437393554</v>
      </c>
      <c r="H1868">
        <v>0.01961247637051</v>
      </c>
      <c r="I1868">
        <v>0.364426877470355</v>
      </c>
    </row>
    <row r="1869" spans="1:9">
      <c r="A1869" s="1" t="s">
        <v>1881</v>
      </c>
      <c r="B1869">
        <f>HYPERLINK("https://www.suredividend.com/sure-analysis-research-database/","WillScot Mobile Mini Holdings Corp")</f>
        <v>0</v>
      </c>
      <c r="C1869">
        <v>-0.024432432432432</v>
      </c>
      <c r="D1869">
        <v>0.05791324736225</v>
      </c>
      <c r="E1869">
        <v>0.390875462392108</v>
      </c>
      <c r="F1869">
        <v>-0.001106929377905</v>
      </c>
      <c r="G1869">
        <v>0.184562877395641</v>
      </c>
      <c r="H1869">
        <v>0.7474825716498831</v>
      </c>
      <c r="I1869">
        <v>2.566798418972332</v>
      </c>
    </row>
    <row r="1870" spans="1:9">
      <c r="A1870" s="1" t="s">
        <v>1882</v>
      </c>
      <c r="B1870">
        <f>HYPERLINK("https://www.suredividend.com/sure-analysis-research-database/","WSFS Financial Corp.")</f>
        <v>0</v>
      </c>
      <c r="C1870">
        <v>-0.015739542906425</v>
      </c>
      <c r="D1870">
        <v>0.006111604555161</v>
      </c>
      <c r="E1870">
        <v>0.133010183440925</v>
      </c>
      <c r="F1870">
        <v>0.006837229819144</v>
      </c>
      <c r="G1870">
        <v>-0.163887255736942</v>
      </c>
      <c r="H1870">
        <v>0.008674824448598</v>
      </c>
      <c r="I1870">
        <v>0.011728515451853</v>
      </c>
    </row>
    <row r="1871" spans="1:9">
      <c r="A1871" s="1" t="s">
        <v>1883</v>
      </c>
      <c r="B1871">
        <f>HYPERLINK("https://www.suredividend.com/sure-analysis-WSR/","Whitestone REIT")</f>
        <v>0</v>
      </c>
      <c r="C1871">
        <v>0.022795503012484</v>
      </c>
      <c r="D1871">
        <v>0.199596896589405</v>
      </c>
      <c r="E1871">
        <v>-0.023252135400189</v>
      </c>
      <c r="F1871">
        <v>0.029166666666666</v>
      </c>
      <c r="G1871">
        <v>0.006048510274321001</v>
      </c>
      <c r="H1871">
        <v>0.34696659850034</v>
      </c>
      <c r="I1871">
        <v>0.008585224430629</v>
      </c>
    </row>
    <row r="1872" spans="1:9">
      <c r="A1872" s="1" t="s">
        <v>1884</v>
      </c>
      <c r="B1872">
        <f>HYPERLINK("https://www.suredividend.com/sure-analysis-research-database/","West Bancorporation")</f>
        <v>0</v>
      </c>
      <c r="C1872">
        <v>0.019873150105708</v>
      </c>
      <c r="D1872">
        <v>0.184693291158514</v>
      </c>
      <c r="E1872">
        <v>0.040713829585267</v>
      </c>
      <c r="F1872">
        <v>-0.055968688845401</v>
      </c>
      <c r="G1872">
        <v>-0.208209410884166</v>
      </c>
      <c r="H1872">
        <v>0.268512285425782</v>
      </c>
      <c r="I1872">
        <v>0.195539033457249</v>
      </c>
    </row>
    <row r="1873" spans="1:9">
      <c r="A1873" s="1" t="s">
        <v>1885</v>
      </c>
      <c r="B1873">
        <f>HYPERLINK("https://www.suredividend.com/sure-analysis-research-database/","W &amp; T Offshore Inc")</f>
        <v>0</v>
      </c>
      <c r="C1873">
        <v>0.001838235294117</v>
      </c>
      <c r="D1873">
        <v>-0.274300932090545</v>
      </c>
      <c r="E1873">
        <v>0.355721393034826</v>
      </c>
      <c r="F1873">
        <v>-0.023297491039426</v>
      </c>
      <c r="G1873">
        <v>0.5013774104683191</v>
      </c>
      <c r="H1873">
        <v>1.252066115702479</v>
      </c>
      <c r="I1873">
        <v>0.264501160092807</v>
      </c>
    </row>
    <row r="1874" spans="1:9">
      <c r="A1874" s="1" t="s">
        <v>1886</v>
      </c>
      <c r="B1874">
        <f>HYPERLINK("https://www.suredividend.com/sure-analysis-research-database/","Watts Water Technologies, Inc.")</f>
        <v>0</v>
      </c>
      <c r="C1874">
        <v>-0.011744523621008</v>
      </c>
      <c r="D1874">
        <v>0.188319905429474</v>
      </c>
      <c r="E1874">
        <v>0.193391013633404</v>
      </c>
      <c r="F1874">
        <v>0.024276824181084</v>
      </c>
      <c r="G1874">
        <v>-0.194483464807456</v>
      </c>
      <c r="H1874">
        <v>0.205240034118158</v>
      </c>
      <c r="I1874">
        <v>1.058460950674174</v>
      </c>
    </row>
    <row r="1875" spans="1:9">
      <c r="A1875" s="1" t="s">
        <v>1887</v>
      </c>
      <c r="B1875">
        <f>HYPERLINK("https://www.suredividend.com/sure-analysis-research-database/","Select Energy Services Inc")</f>
        <v>0</v>
      </c>
      <c r="C1875">
        <v>0.09846547314577901</v>
      </c>
      <c r="D1875">
        <v>0.073280439807584</v>
      </c>
      <c r="E1875">
        <v>0.268720645142232</v>
      </c>
      <c r="F1875">
        <v>-0.07034632034632</v>
      </c>
      <c r="G1875">
        <v>0.30909201743424</v>
      </c>
      <c r="H1875">
        <v>0.5709008448849711</v>
      </c>
      <c r="I1875">
        <v>-0.5352360340862971</v>
      </c>
    </row>
    <row r="1876" spans="1:9">
      <c r="A1876" s="1" t="s">
        <v>1888</v>
      </c>
      <c r="B1876">
        <f>HYPERLINK("https://www.suredividend.com/sure-analysis-research-database/","Wave Life Sciences Ltd.")</f>
        <v>0</v>
      </c>
      <c r="C1876">
        <v>0.406169665809768</v>
      </c>
      <c r="D1876">
        <v>0.340686274509803</v>
      </c>
      <c r="E1876">
        <v>0.308612440191387</v>
      </c>
      <c r="F1876">
        <v>-0.218571428571428</v>
      </c>
      <c r="G1876">
        <v>0.899305555555555</v>
      </c>
      <c r="H1876">
        <v>-0.4714975845410621</v>
      </c>
      <c r="I1876">
        <v>-0.831432973805855</v>
      </c>
    </row>
    <row r="1877" spans="1:9">
      <c r="A1877" s="1" t="s">
        <v>1889</v>
      </c>
      <c r="B1877">
        <f>HYPERLINK("https://www.suredividend.com/sure-analysis-research-database/","WW International Inc")</f>
        <v>0</v>
      </c>
      <c r="C1877">
        <v>0.202072538860103</v>
      </c>
      <c r="D1877">
        <v>0.278236914600551</v>
      </c>
      <c r="E1877">
        <v>-0.336194563662374</v>
      </c>
      <c r="F1877">
        <v>0.202072538860103</v>
      </c>
      <c r="G1877">
        <v>-0.6947368421052631</v>
      </c>
      <c r="H1877">
        <v>-0.8069080316271321</v>
      </c>
      <c r="I1877">
        <v>-0.919121492069025</v>
      </c>
    </row>
    <row r="1878" spans="1:9">
      <c r="A1878" s="1" t="s">
        <v>1890</v>
      </c>
      <c r="B1878">
        <f>HYPERLINK("https://www.suredividend.com/sure-analysis-research-database/","Wolverine World Wide, Inc.")</f>
        <v>0</v>
      </c>
      <c r="C1878">
        <v>0.08534018269249301</v>
      </c>
      <c r="D1878">
        <v>-0.296616374320239</v>
      </c>
      <c r="E1878">
        <v>-0.448243361984753</v>
      </c>
      <c r="F1878">
        <v>0.028362305580969</v>
      </c>
      <c r="G1878">
        <v>-0.5757241754176701</v>
      </c>
      <c r="H1878">
        <v>-0.636869974251367</v>
      </c>
      <c r="I1878">
        <v>-0.618131289452405</v>
      </c>
    </row>
    <row r="1879" spans="1:9">
      <c r="A1879" s="1" t="s">
        <v>1891</v>
      </c>
      <c r="B1879">
        <f>HYPERLINK("https://www.suredividend.com/sure-analysis-research-database/","XBiotech Inc")</f>
        <v>0</v>
      </c>
      <c r="C1879">
        <v>0.169278996865203</v>
      </c>
      <c r="D1879">
        <v>-0.015831134564643</v>
      </c>
      <c r="E1879">
        <v>-0.360205831903945</v>
      </c>
      <c r="F1879">
        <v>0.062678062678062</v>
      </c>
      <c r="G1879">
        <v>-0.6704946996466431</v>
      </c>
      <c r="H1879">
        <v>-0.752491672306936</v>
      </c>
      <c r="I1879">
        <v>0.07953229914332001</v>
      </c>
    </row>
    <row r="1880" spans="1:9">
      <c r="A1880" s="1" t="s">
        <v>1892</v>
      </c>
      <c r="B1880">
        <f>HYPERLINK("https://www.suredividend.com/sure-analysis-research-database/","Intersect ENT Inc")</f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</row>
    <row r="1881" spans="1:9">
      <c r="A1881" s="1" t="s">
        <v>1893</v>
      </c>
      <c r="B1881">
        <f>HYPERLINK("https://www.suredividend.com/sure-analysis-research-database/","Exagen Inc")</f>
        <v>0</v>
      </c>
      <c r="C1881">
        <v>0.01098901098901</v>
      </c>
      <c r="D1881">
        <v>0.018450184501844</v>
      </c>
      <c r="E1881">
        <v>-0.5953079178885631</v>
      </c>
      <c r="F1881">
        <v>0.149999999999999</v>
      </c>
      <c r="G1881">
        <v>-0.739622641509434</v>
      </c>
      <c r="H1881">
        <v>-0.8240917782026761</v>
      </c>
      <c r="I1881">
        <v>-0.8514531754574811</v>
      </c>
    </row>
    <row r="1882" spans="1:9">
      <c r="A1882" s="1" t="s">
        <v>1894</v>
      </c>
      <c r="B1882">
        <f>HYPERLINK("https://www.suredividend.com/sure-analysis-research-database/","Xenia Hotels &amp; Resorts Inc")</f>
        <v>0</v>
      </c>
      <c r="C1882">
        <v>-0.159329321292788</v>
      </c>
      <c r="D1882">
        <v>-0.103878008586362</v>
      </c>
      <c r="E1882">
        <v>-0.1179951270449</v>
      </c>
      <c r="F1882">
        <v>-0.038694992412746</v>
      </c>
      <c r="G1882">
        <v>-0.299585943071318</v>
      </c>
      <c r="H1882">
        <v>-0.189177081933431</v>
      </c>
      <c r="I1882">
        <v>-0.312627153126271</v>
      </c>
    </row>
    <row r="1883" spans="1:9">
      <c r="A1883" s="1" t="s">
        <v>1895</v>
      </c>
      <c r="B1883">
        <f>HYPERLINK("https://www.suredividend.com/sure-analysis-research-database/","XL Fleet Corporation")</f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</row>
    <row r="1884" spans="1:9">
      <c r="A1884" s="1" t="s">
        <v>1896</v>
      </c>
      <c r="B1884">
        <f>HYPERLINK("https://www.suredividend.com/sure-analysis-research-database/","Xilio Therapeutics Inc")</f>
        <v>0</v>
      </c>
      <c r="C1884">
        <v>0.234782608695652</v>
      </c>
      <c r="D1884">
        <v>0.036496350364963</v>
      </c>
      <c r="E1884">
        <v>-0.174418604651162</v>
      </c>
      <c r="F1884">
        <v>0.05576208178438601</v>
      </c>
      <c r="G1884">
        <v>-0.8016759776536311</v>
      </c>
      <c r="H1884">
        <v>-0.8225</v>
      </c>
      <c r="I1884">
        <v>-0.8225</v>
      </c>
    </row>
    <row r="1885" spans="1:9">
      <c r="A1885" s="1" t="s">
        <v>1897</v>
      </c>
      <c r="B1885">
        <f>HYPERLINK("https://www.suredividend.com/sure-analysis-research-database/","Xometry Inc")</f>
        <v>0</v>
      </c>
      <c r="C1885">
        <v>-0.301877346683354</v>
      </c>
      <c r="D1885">
        <v>-0.527368242670733</v>
      </c>
      <c r="E1885">
        <v>-0.240468409586056</v>
      </c>
      <c r="F1885">
        <v>-0.134657151721998</v>
      </c>
      <c r="G1885">
        <v>-0.498020158387329</v>
      </c>
      <c r="H1885">
        <v>-0.6808559331731311</v>
      </c>
      <c r="I1885">
        <v>-0.6808559331731311</v>
      </c>
    </row>
    <row r="1886" spans="1:9">
      <c r="A1886" s="1" t="s">
        <v>1898</v>
      </c>
      <c r="B1886">
        <f>HYPERLINK("https://www.suredividend.com/sure-analysis-research-database/","Xencor Inc")</f>
        <v>0</v>
      </c>
      <c r="C1886">
        <v>-0.08228064185728901</v>
      </c>
      <c r="D1886">
        <v>0.032258064516129</v>
      </c>
      <c r="E1886">
        <v>-0.161048689138576</v>
      </c>
      <c r="F1886">
        <v>0.032258064516129</v>
      </c>
      <c r="G1886">
        <v>-0.292072688964972</v>
      </c>
      <c r="H1886">
        <v>-0.455650060753341</v>
      </c>
      <c r="I1886">
        <v>0.176367614879649</v>
      </c>
    </row>
    <row r="1887" spans="1:9">
      <c r="A1887" s="1" t="s">
        <v>1899</v>
      </c>
      <c r="B1887">
        <f>HYPERLINK("https://www.suredividend.com/sure-analysis-research-database/","XOMA Corp")</f>
        <v>0</v>
      </c>
      <c r="C1887">
        <v>-0.04405520169851301</v>
      </c>
      <c r="D1887">
        <v>0.09817073170731701</v>
      </c>
      <c r="E1887">
        <v>-0.344136926438455</v>
      </c>
      <c r="F1887">
        <v>-0.021195652173912</v>
      </c>
      <c r="G1887">
        <v>-0.192376681614349</v>
      </c>
      <c r="H1887">
        <v>-0.56810551558753</v>
      </c>
      <c r="I1887">
        <v>-0.447376495857625</v>
      </c>
    </row>
    <row r="1888" spans="1:9">
      <c r="A1888" s="1" t="s">
        <v>1900</v>
      </c>
      <c r="B1888">
        <f>HYPERLINK("https://www.suredividend.com/sure-analysis-research-database/","XPEL Inc")</f>
        <v>0</v>
      </c>
      <c r="C1888">
        <v>0.023010857235456</v>
      </c>
      <c r="D1888">
        <v>0.028678507414046</v>
      </c>
      <c r="E1888">
        <v>0.204541118107231</v>
      </c>
      <c r="F1888">
        <v>0.051115551115551</v>
      </c>
      <c r="G1888">
        <v>-0.050676691729323</v>
      </c>
      <c r="H1888">
        <v>0.149699508286286</v>
      </c>
      <c r="I1888">
        <v>36.64460345855695</v>
      </c>
    </row>
    <row r="1889" spans="1:9">
      <c r="A1889" s="1" t="s">
        <v>1901</v>
      </c>
      <c r="B1889">
        <f>HYPERLINK("https://www.suredividend.com/sure-analysis-research-database/","Xperi Inc")</f>
        <v>0</v>
      </c>
      <c r="C1889">
        <v>-0.127984718242597</v>
      </c>
      <c r="D1889">
        <v>-0.388888888888888</v>
      </c>
      <c r="E1889">
        <v>-0.603043478260869</v>
      </c>
      <c r="F1889">
        <v>0.060394889663182</v>
      </c>
      <c r="G1889">
        <v>-0.603043478260869</v>
      </c>
      <c r="H1889">
        <v>-0.603043478260869</v>
      </c>
      <c r="I1889">
        <v>-0.603043478260869</v>
      </c>
    </row>
    <row r="1890" spans="1:9">
      <c r="A1890" s="1" t="s">
        <v>1902</v>
      </c>
      <c r="B1890">
        <f>HYPERLINK("https://www.suredividend.com/sure-analysis-research-database/","Xponential Fitness Inc")</f>
        <v>0</v>
      </c>
      <c r="C1890">
        <v>0.193269668030923</v>
      </c>
      <c r="D1890">
        <v>0.325252525252525</v>
      </c>
      <c r="E1890">
        <v>0.9139314369073661</v>
      </c>
      <c r="F1890">
        <v>0.144352376798953</v>
      </c>
      <c r="G1890">
        <v>0.485843714609286</v>
      </c>
      <c r="H1890">
        <v>1.14204081632653</v>
      </c>
      <c r="I1890">
        <v>1.14204081632653</v>
      </c>
    </row>
    <row r="1891" spans="1:9">
      <c r="A1891" s="1" t="s">
        <v>1903</v>
      </c>
      <c r="B1891">
        <f>HYPERLINK("https://www.suredividend.com/sure-analysis-research-database/","Expro Group Holdings N.V.")</f>
        <v>0</v>
      </c>
      <c r="C1891">
        <v>0.267893660531697</v>
      </c>
      <c r="D1891">
        <v>0.207008436080467</v>
      </c>
      <c r="E1891">
        <v>0.7953667953667951</v>
      </c>
      <c r="F1891">
        <v>0.02592388306674</v>
      </c>
      <c r="G1891">
        <v>0.194605009633911</v>
      </c>
      <c r="H1891">
        <v>-0.009584664536741</v>
      </c>
      <c r="I1891">
        <v>-0.579375848032564</v>
      </c>
    </row>
    <row r="1892" spans="1:9">
      <c r="A1892" s="1" t="s">
        <v>1904</v>
      </c>
      <c r="B1892">
        <f>HYPERLINK("https://www.suredividend.com/sure-analysis-research-database/","22nd Century Group Inc")</f>
        <v>0</v>
      </c>
      <c r="C1892">
        <v>-0.106708236950618</v>
      </c>
      <c r="D1892">
        <v>-0.03613673358654301</v>
      </c>
      <c r="E1892">
        <v>-0.588796296296296</v>
      </c>
      <c r="F1892">
        <v>-0.03508962520369301</v>
      </c>
      <c r="G1892">
        <v>-0.678188405797101</v>
      </c>
      <c r="H1892">
        <v>-0.6622813688212921</v>
      </c>
      <c r="I1892">
        <v>-0.717133757961783</v>
      </c>
    </row>
    <row r="1893" spans="1:9">
      <c r="A1893" s="1" t="s">
        <v>1905</v>
      </c>
      <c r="B1893">
        <f>HYPERLINK("https://www.suredividend.com/sure-analysis-research-database/","Yellow Corporation")</f>
        <v>0</v>
      </c>
      <c r="C1893">
        <v>-0.115646258503401</v>
      </c>
      <c r="D1893">
        <v>-0.419642857142857</v>
      </c>
      <c r="E1893">
        <v>-0.221556886227544</v>
      </c>
      <c r="F1893">
        <v>0.035856573705179</v>
      </c>
      <c r="G1893">
        <v>-0.762340036563071</v>
      </c>
      <c r="H1893">
        <v>-0.443254817987152</v>
      </c>
      <c r="I1893">
        <v>-0.8239675016926201</v>
      </c>
    </row>
    <row r="1894" spans="1:9">
      <c r="A1894" s="1" t="s">
        <v>1906</v>
      </c>
      <c r="B1894">
        <f>HYPERLINK("https://www.suredividend.com/sure-analysis-research-database/","Yelp Inc")</f>
        <v>0</v>
      </c>
      <c r="C1894">
        <v>0.010014306151645</v>
      </c>
      <c r="D1894">
        <v>-0.200679309368808</v>
      </c>
      <c r="E1894">
        <v>0.006414825374198001</v>
      </c>
      <c r="F1894">
        <v>0.032918800292611</v>
      </c>
      <c r="G1894">
        <v>-0.2</v>
      </c>
      <c r="H1894">
        <v>-0.1318782662158</v>
      </c>
      <c r="I1894">
        <v>-0.347655347655347</v>
      </c>
    </row>
    <row r="1895" spans="1:9">
      <c r="A1895" s="1" t="s">
        <v>1907</v>
      </c>
      <c r="B1895">
        <f>HYPERLINK("https://www.suredividend.com/sure-analysis-research-database/","Yext Inc")</f>
        <v>0</v>
      </c>
      <c r="C1895">
        <v>-0.012578616352201</v>
      </c>
      <c r="D1895">
        <v>0.362255965292841</v>
      </c>
      <c r="E1895">
        <v>0.236220472440944</v>
      </c>
      <c r="F1895">
        <v>-0.038284839203675</v>
      </c>
      <c r="G1895">
        <v>-0.30454042081949</v>
      </c>
      <c r="H1895">
        <v>-0.6331775700934571</v>
      </c>
      <c r="I1895">
        <v>-0.449605609114811</v>
      </c>
    </row>
    <row r="1896" spans="1:9">
      <c r="A1896" s="1" t="s">
        <v>1908</v>
      </c>
      <c r="B1896">
        <f>HYPERLINK("https://www.suredividend.com/sure-analysis-research-database/","Y-Mabs Therapeutics Inc")</f>
        <v>0</v>
      </c>
      <c r="C1896">
        <v>0.073394495412843</v>
      </c>
      <c r="D1896">
        <v>-0.6606236403190711</v>
      </c>
      <c r="E1896">
        <v>-0.757763975155279</v>
      </c>
      <c r="F1896">
        <v>-0.040983606557377</v>
      </c>
      <c r="G1896">
        <v>-0.6666666666666661</v>
      </c>
      <c r="H1896">
        <v>-0.9088607594936701</v>
      </c>
      <c r="I1896">
        <v>-0.805</v>
      </c>
    </row>
    <row r="1897" spans="1:9">
      <c r="A1897" s="1" t="s">
        <v>1909</v>
      </c>
      <c r="B1897">
        <f>HYPERLINK("https://www.suredividend.com/sure-analysis-YORW/","York Water Co.")</f>
        <v>0</v>
      </c>
      <c r="C1897">
        <v>-0.031584896637175</v>
      </c>
      <c r="D1897">
        <v>0.19334619093539</v>
      </c>
      <c r="E1897">
        <v>0.085124417856933</v>
      </c>
      <c r="F1897">
        <v>-0.009559804357492001</v>
      </c>
      <c r="G1897">
        <v>-0.022516137808768</v>
      </c>
      <c r="H1897">
        <v>-0.035279952879218</v>
      </c>
      <c r="I1897">
        <v>0.503259593191971</v>
      </c>
    </row>
    <row r="1898" spans="1:9">
      <c r="A1898" s="1" t="s">
        <v>1910</v>
      </c>
      <c r="B1898">
        <f>HYPERLINK("https://www.suredividend.com/sure-analysis-research-database/","Ziff Davis Inc")</f>
        <v>0</v>
      </c>
      <c r="C1898">
        <v>-0.04411593528110801</v>
      </c>
      <c r="D1898">
        <v>0.142777623156137</v>
      </c>
      <c r="E1898">
        <v>0.046114649681528</v>
      </c>
      <c r="F1898">
        <v>0.03817951959544801</v>
      </c>
      <c r="G1898">
        <v>-0.233096750093388</v>
      </c>
      <c r="H1898">
        <v>-0.05259636128704701</v>
      </c>
      <c r="I1898">
        <v>0.276790920045088</v>
      </c>
    </row>
    <row r="1899" spans="1:9">
      <c r="A1899" s="1" t="s">
        <v>1911</v>
      </c>
      <c r="B1899">
        <f>HYPERLINK("https://www.suredividend.com/sure-analysis-research-database/","Olympic Steel Inc.")</f>
        <v>0</v>
      </c>
      <c r="C1899">
        <v>0.020947176684881</v>
      </c>
      <c r="D1899">
        <v>0.45646204883457</v>
      </c>
      <c r="E1899">
        <v>0.3904105907694591</v>
      </c>
      <c r="F1899">
        <v>0.001488981536629</v>
      </c>
      <c r="G1899">
        <v>0.315439496823857</v>
      </c>
      <c r="H1899">
        <v>1.266997424938994</v>
      </c>
      <c r="I1899">
        <v>0.56457173163617</v>
      </c>
    </row>
    <row r="1900" spans="1:9">
      <c r="A1900" s="1" t="s">
        <v>1912</v>
      </c>
      <c r="B1900">
        <f>HYPERLINK("https://www.suredividend.com/sure-analysis-research-database/","Zogenix Inc")</f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</row>
    <row r="1901" spans="1:9">
      <c r="A1901" s="1" t="s">
        <v>1913</v>
      </c>
      <c r="B1901">
        <f>HYPERLINK("https://www.suredividend.com/sure-analysis-research-database/","Zentalis Pharmaceuticals Inc")</f>
        <v>0</v>
      </c>
      <c r="C1901">
        <v>-0.047790339157245</v>
      </c>
      <c r="D1901">
        <v>-0.141334569045412</v>
      </c>
      <c r="E1901">
        <v>-0.376933422999327</v>
      </c>
      <c r="F1901">
        <v>-0.079940417080436</v>
      </c>
      <c r="G1901">
        <v>-0.73441307152071</v>
      </c>
      <c r="H1901">
        <v>-0.626185192656848</v>
      </c>
      <c r="I1901">
        <v>-0.201293103448275</v>
      </c>
    </row>
    <row r="1902" spans="1:9">
      <c r="A1902" s="1" t="s">
        <v>1914</v>
      </c>
      <c r="B1902">
        <f>HYPERLINK("https://www.suredividend.com/sure-analysis-research-database/","Zumiez Inc")</f>
        <v>0</v>
      </c>
      <c r="C1902">
        <v>0.037004405286343</v>
      </c>
      <c r="D1902">
        <v>0.09082483781278901</v>
      </c>
      <c r="E1902">
        <v>-0.08333333333333301</v>
      </c>
      <c r="F1902">
        <v>0.08279668813247401</v>
      </c>
      <c r="G1902">
        <v>-0.494198538891276</v>
      </c>
      <c r="H1902">
        <v>-0.412087912087912</v>
      </c>
      <c r="I1902">
        <v>0.067573696145124</v>
      </c>
    </row>
    <row r="1903" spans="1:9">
      <c r="A1903" s="1" t="s">
        <v>1915</v>
      </c>
      <c r="B1903">
        <f>HYPERLINK("https://www.suredividend.com/sure-analysis-research-database/","Zuora Inc")</f>
        <v>0</v>
      </c>
      <c r="C1903">
        <v>0.097643097643097</v>
      </c>
      <c r="D1903">
        <v>-0.116531165311653</v>
      </c>
      <c r="E1903">
        <v>-0.3466933867735471</v>
      </c>
      <c r="F1903">
        <v>0.025157232704402</v>
      </c>
      <c r="G1903">
        <v>-0.6055656382335141</v>
      </c>
      <c r="H1903">
        <v>-0.546276965901183</v>
      </c>
      <c r="I1903">
        <v>-0.674</v>
      </c>
    </row>
    <row r="1904" spans="1:9">
      <c r="A1904" s="1" t="s">
        <v>1916</v>
      </c>
      <c r="B1904">
        <f>HYPERLINK("https://www.suredividend.com/sure-analysis-research-database/","Zevia PBC")</f>
        <v>0</v>
      </c>
      <c r="C1904">
        <v>0.006976744186046001</v>
      </c>
      <c r="D1904">
        <v>0.035885167464114</v>
      </c>
      <c r="E1904">
        <v>0.230113636363636</v>
      </c>
      <c r="F1904">
        <v>0.05867970660146701</v>
      </c>
      <c r="G1904">
        <v>-0.375180375180375</v>
      </c>
      <c r="H1904">
        <v>-0.682783882783882</v>
      </c>
      <c r="I1904">
        <v>-0.682783882783882</v>
      </c>
    </row>
    <row r="1905" spans="1:9">
      <c r="A1905" s="1" t="s">
        <v>1917</v>
      </c>
      <c r="B1905">
        <f>HYPERLINK("https://www.suredividend.com/sure-analysis-research-database/","Zurn Elkay Water Solutions Corp")</f>
        <v>0</v>
      </c>
      <c r="C1905">
        <v>-0.08577319587628801</v>
      </c>
      <c r="D1905">
        <v>-0.09543063948198401</v>
      </c>
      <c r="E1905">
        <v>-0.249961939881928</v>
      </c>
      <c r="F1905">
        <v>0.04822695035461</v>
      </c>
      <c r="G1905">
        <v>-0.3559763189849</v>
      </c>
      <c r="H1905">
        <v>-0.498508191937676</v>
      </c>
      <c r="I1905">
        <v>-0.186875577659434</v>
      </c>
    </row>
    <row r="1906" spans="1:9">
      <c r="A1906" s="1" t="s">
        <v>1918</v>
      </c>
      <c r="B1906">
        <f>HYPERLINK("https://www.suredividend.com/sure-analysis-research-database/","Zymergen Inc")</f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</row>
    <row r="1907" spans="1:9">
      <c r="A1907" s="1" t="s">
        <v>1919</v>
      </c>
      <c r="B1907">
        <f>HYPERLINK("https://www.suredividend.com/sure-analysis-research-database/","Zynex Inc")</f>
        <v>0</v>
      </c>
      <c r="C1907">
        <v>0.173163418290854</v>
      </c>
      <c r="D1907">
        <v>0.7784090909090901</v>
      </c>
      <c r="E1907">
        <v>0.9961734693877551</v>
      </c>
      <c r="F1907">
        <v>0.12508986340762</v>
      </c>
      <c r="G1907">
        <v>0.8476977567886651</v>
      </c>
      <c r="H1907">
        <v>0.195898031544198</v>
      </c>
      <c r="I1907">
        <v>81.76044420941301</v>
      </c>
    </row>
  </sheetData>
  <autoFilter ref="A1:I1907"/>
  <conditionalFormatting sqref="A1:I1">
    <cfRule type="cellIs" dxfId="8" priority="10" operator="notEqual">
      <formula>-13.345</formula>
    </cfRule>
  </conditionalFormatting>
  <conditionalFormatting sqref="A2:A1907">
    <cfRule type="cellIs" dxfId="0" priority="1" operator="notEqual">
      <formula>"None"</formula>
    </cfRule>
  </conditionalFormatting>
  <conditionalFormatting sqref="B2:B1907">
    <cfRule type="cellIs" dxfId="0" priority="2" operator="notEqual">
      <formula>"None"</formula>
    </cfRule>
  </conditionalFormatting>
  <conditionalFormatting sqref="C2:C1907">
    <cfRule type="cellIs" dxfId="3" priority="3" operator="notEqual">
      <formula>"None"</formula>
    </cfRule>
  </conditionalFormatting>
  <conditionalFormatting sqref="D2:D1907">
    <cfRule type="cellIs" dxfId="3" priority="4" operator="notEqual">
      <formula>"None"</formula>
    </cfRule>
  </conditionalFormatting>
  <conditionalFormatting sqref="E2:E1907">
    <cfRule type="cellIs" dxfId="3" priority="5" operator="notEqual">
      <formula>"None"</formula>
    </cfRule>
  </conditionalFormatting>
  <conditionalFormatting sqref="F2:F1907">
    <cfRule type="cellIs" dxfId="3" priority="6" operator="notEqual">
      <formula>"None"</formula>
    </cfRule>
  </conditionalFormatting>
  <conditionalFormatting sqref="G2:G1907">
    <cfRule type="cellIs" dxfId="3" priority="7" operator="notEqual">
      <formula>"None"</formula>
    </cfRule>
  </conditionalFormatting>
  <conditionalFormatting sqref="H2:H1907">
    <cfRule type="cellIs" dxfId="3" priority="8" operator="notEqual">
      <formula>"None"</formula>
    </cfRule>
  </conditionalFormatting>
  <conditionalFormatting sqref="I2:I1907">
    <cfRule type="cellIs" dxfId="3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1939</v>
      </c>
      <c r="B1" s="1"/>
    </row>
    <row r="2" spans="1:2">
      <c r="A2" s="1" t="s">
        <v>1940</v>
      </c>
    </row>
    <row r="3" spans="1:2">
      <c r="A3" s="1" t="s">
        <v>1941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2023-01-10T12:46:32Z</dcterms:created>
  <dcterms:modified xsi:type="dcterms:W3CDTF">2023-01-10T12:46:32Z</dcterms:modified>
</cp:coreProperties>
</file>