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Sensitivity Analysis - Excel\"/>
    </mc:Choice>
  </mc:AlternateContent>
  <xr:revisionPtr revIDLastSave="0" documentId="13_ncr:1_{3FE4B7B4-A36B-44B3-9D45-4A8011D10F49}" xr6:coauthVersionLast="47" xr6:coauthVersionMax="47" xr10:uidLastSave="{00000000-0000-0000-0000-000000000000}"/>
  <bookViews>
    <workbookView xWindow="7680" yWindow="1725" windowWidth="14520" windowHeight="12030" xr2:uid="{8BD4130D-7806-4B87-B3F0-0009A698DBFF}"/>
  </bookViews>
  <sheets>
    <sheet name="Forecasting" sheetId="5" r:id="rId1"/>
    <sheet name="Sensitivity" sheetId="4" r:id="rId2"/>
    <sheet name="Solver" sheetId="2" r:id="rId3"/>
    <sheet name="Model" sheetId="1" r:id="rId4"/>
  </sheets>
  <definedNames>
    <definedName name="solver_adj" localSheetId="1" hidden="1">Sensitivity!$S$9:$T$9</definedName>
    <definedName name="solver_adj" localSheetId="2" hidden="1">Solver!$K$9:$L$9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Sensitivity!$S$9</definedName>
    <definedName name="solver_lhs1" localSheetId="2" hidden="1">Solver!$K$9</definedName>
    <definedName name="solver_lhs2" localSheetId="1" hidden="1">Sensitivity!$S$9</definedName>
    <definedName name="solver_lhs2" localSheetId="2" hidden="1">Solver!$K$9</definedName>
    <definedName name="solver_lhs3" localSheetId="1" hidden="1">Sensitivity!$T$9</definedName>
    <definedName name="solver_lhs3" localSheetId="2" hidden="1">Solver!$L$9</definedName>
    <definedName name="solver_lhs4" localSheetId="1" hidden="1">Sensitivity!$T$9</definedName>
    <definedName name="solver_lhs4" localSheetId="2" hidden="1">Solver!$L$9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3</definedName>
    <definedName name="solver_num" localSheetId="2" hidden="1">3</definedName>
    <definedName name="solver_nwt" localSheetId="1" hidden="1">1</definedName>
    <definedName name="solver_nwt" localSheetId="2" hidden="1">1</definedName>
    <definedName name="solver_opt" localSheetId="1" hidden="1">Sensitivity!$G$40</definedName>
    <definedName name="solver_opt" localSheetId="2" hidden="1">Solver!$G$40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el2" localSheetId="1" hidden="1">3</definedName>
    <definedName name="solver_rel2" localSheetId="2" hidden="1">3</definedName>
    <definedName name="solver_rel3" localSheetId="1" hidden="1">1</definedName>
    <definedName name="solver_rel3" localSheetId="2" hidden="1">1</definedName>
    <definedName name="solver_rel4" localSheetId="1" hidden="1">1</definedName>
    <definedName name="solver_rel4" localSheetId="2" hidden="1">1</definedName>
    <definedName name="solver_rhs1" localSheetId="1" hidden="1">Sensitivity!$S$22</definedName>
    <definedName name="solver_rhs1" localSheetId="2" hidden="1">Solver!$K$22</definedName>
    <definedName name="solver_rhs2" localSheetId="1" hidden="1">Sensitivity!$S$23</definedName>
    <definedName name="solver_rhs2" localSheetId="2" hidden="1">Solver!$K$23</definedName>
    <definedName name="solver_rhs3" localSheetId="1" hidden="1">Sensitivity!$S$21</definedName>
    <definedName name="solver_rhs3" localSheetId="2" hidden="1">Solver!$K$21</definedName>
    <definedName name="solver_rhs4" localSheetId="1" hidden="1">Sensitivity!#REF!</definedName>
    <definedName name="solver_rhs4" localSheetId="2" hidden="1">Solver!#REF!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3</definedName>
    <definedName name="solver_typ" localSheetId="2" hidden="1">3</definedName>
    <definedName name="solver_val" localSheetId="1" hidden="1">517500</definedName>
    <definedName name="solver_val" localSheetId="2" hidden="1">517500</definedName>
    <definedName name="solver_ver" localSheetId="1" hidden="1">3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5" l="1"/>
  <c r="E19" i="5" s="1"/>
  <c r="C20" i="5"/>
  <c r="D20" i="5" s="1"/>
  <c r="E20" i="5" s="1"/>
  <c r="C18" i="5"/>
  <c r="D18" i="5" s="1"/>
  <c r="E18" i="5" s="1"/>
  <c r="C9" i="5"/>
  <c r="D14" i="5"/>
  <c r="E14" i="5" s="1"/>
  <c r="D7" i="5"/>
  <c r="E7" i="5" s="1"/>
  <c r="C15" i="5"/>
  <c r="D15" i="5" s="1"/>
  <c r="E15" i="5" s="1"/>
  <c r="C13" i="5"/>
  <c r="G32" i="4"/>
  <c r="G30" i="4"/>
  <c r="S20" i="4"/>
  <c r="S16" i="4"/>
  <c r="S17" i="4" s="1"/>
  <c r="V17" i="4" s="1"/>
  <c r="V15" i="4"/>
  <c r="V11" i="4"/>
  <c r="G16" i="4" s="1"/>
  <c r="G11" i="4"/>
  <c r="G34" i="4" s="1"/>
  <c r="V10" i="4"/>
  <c r="G15" i="4" s="1"/>
  <c r="V9" i="4"/>
  <c r="G14" i="4" s="1"/>
  <c r="K20" i="2"/>
  <c r="G32" i="2"/>
  <c r="G30" i="2"/>
  <c r="K16" i="2"/>
  <c r="K17" i="2" s="1"/>
  <c r="N17" i="2" s="1"/>
  <c r="N15" i="2"/>
  <c r="N11" i="2"/>
  <c r="G16" i="2" s="1"/>
  <c r="G11" i="2"/>
  <c r="N10" i="2"/>
  <c r="G15" i="2" s="1"/>
  <c r="N9" i="2"/>
  <c r="G14" i="2" s="1"/>
  <c r="G32" i="1"/>
  <c r="G30" i="1"/>
  <c r="K16" i="1"/>
  <c r="N16" i="1" s="1"/>
  <c r="N15" i="1"/>
  <c r="N11" i="1"/>
  <c r="G16" i="1" s="1"/>
  <c r="N10" i="1"/>
  <c r="G15" i="1" s="1"/>
  <c r="N9" i="1"/>
  <c r="G14" i="1" s="1"/>
  <c r="G11" i="1"/>
  <c r="G34" i="1" s="1"/>
  <c r="D9" i="5" l="1"/>
  <c r="D13" i="5"/>
  <c r="C8" i="5"/>
  <c r="C10" i="5" s="1"/>
  <c r="G39" i="4"/>
  <c r="G17" i="4"/>
  <c r="V16" i="4"/>
  <c r="G22" i="4" s="1"/>
  <c r="G39" i="1"/>
  <c r="G34" i="2"/>
  <c r="G39" i="2" s="1"/>
  <c r="N16" i="2"/>
  <c r="G22" i="2" s="1"/>
  <c r="G17" i="2"/>
  <c r="K17" i="1"/>
  <c r="N17" i="1" s="1"/>
  <c r="G22" i="1" s="1"/>
  <c r="G17" i="1"/>
  <c r="G25" i="1" s="1"/>
  <c r="G26" i="1" s="1"/>
  <c r="E13" i="5" l="1"/>
  <c r="E8" i="5" s="1"/>
  <c r="D8" i="5"/>
  <c r="D10" i="5" s="1"/>
  <c r="E9" i="5"/>
  <c r="G40" i="1"/>
  <c r="G25" i="4"/>
  <c r="G26" i="4" s="1"/>
  <c r="G40" i="4" s="1"/>
  <c r="K8" i="4" s="1"/>
  <c r="G25" i="2"/>
  <c r="G26" i="2" s="1"/>
  <c r="G40" i="2" s="1"/>
  <c r="E10" i="5" l="1"/>
</calcChain>
</file>

<file path=xl/sharedStrings.xml><?xml version="1.0" encoding="utf-8"?>
<sst xmlns="http://schemas.openxmlformats.org/spreadsheetml/2006/main" count="220" uniqueCount="77">
  <si>
    <t>Total Revenue</t>
  </si>
  <si>
    <t>Gross Profit</t>
  </si>
  <si>
    <t>Expense</t>
  </si>
  <si>
    <t>6200 Marketing &amp; Sales</t>
  </si>
  <si>
    <t>6260 Public Relations</t>
  </si>
  <si>
    <t>6020 Parent Compensation</t>
  </si>
  <si>
    <t>6030 Parent Social Security &amp; Healthcare</t>
  </si>
  <si>
    <t>6050 Parent Office Expense</t>
  </si>
  <si>
    <t>6058 Parent Office Rent</t>
  </si>
  <si>
    <t>4120 Engineer</t>
  </si>
  <si>
    <t>4130 Design</t>
  </si>
  <si>
    <t>4150 Testing &amp; Integration</t>
  </si>
  <si>
    <t>4100 Product Development Compensation</t>
  </si>
  <si>
    <t>4200 Product Development Administrative</t>
  </si>
  <si>
    <t>4210 Tools &amp; Supplies</t>
  </si>
  <si>
    <t>4220 Consulting</t>
  </si>
  <si>
    <t>4233 Travel, Room, Broad</t>
  </si>
  <si>
    <t xml:space="preserve">4300 Client </t>
  </si>
  <si>
    <t>4350 Client COGS</t>
  </si>
  <si>
    <t>4000 Cost of Goods Sold</t>
  </si>
  <si>
    <t>3000 Revenue</t>
  </si>
  <si>
    <t>Total Cost of Goods Sold</t>
  </si>
  <si>
    <t>6500 Research &amp; Development</t>
  </si>
  <si>
    <t>6510 Library &amp; Tools</t>
  </si>
  <si>
    <t>6520 Personnel</t>
  </si>
  <si>
    <t>Total Expenses</t>
  </si>
  <si>
    <t>Net Ordinary Income</t>
  </si>
  <si>
    <t>3200 Framework Contract</t>
  </si>
  <si>
    <t>Project A</t>
  </si>
  <si>
    <t>Project X</t>
  </si>
  <si>
    <t>IT Service Project Sensitivity Analysis</t>
  </si>
  <si>
    <t>William Yuan</t>
  </si>
  <si>
    <t>3100 Time &amp; Material</t>
  </si>
  <si>
    <t>Note: revenue and expenses are typical of software implementation project</t>
  </si>
  <si>
    <t>Service Cycle</t>
  </si>
  <si>
    <t>Engineering</t>
  </si>
  <si>
    <t>Project</t>
  </si>
  <si>
    <t>Deisgn</t>
  </si>
  <si>
    <t>Testing and Integration</t>
  </si>
  <si>
    <t>Days</t>
  </si>
  <si>
    <t>Daily Wage Avg.</t>
  </si>
  <si>
    <t>-</t>
  </si>
  <si>
    <t>Total</t>
  </si>
  <si>
    <t>4180 Group Social Security/Health Care</t>
  </si>
  <si>
    <t>6000 Operations (Back Office Support)</t>
  </si>
  <si>
    <t>Staffing</t>
  </si>
  <si>
    <t>Model</t>
  </si>
  <si>
    <t>4230 Office Rent</t>
  </si>
  <si>
    <t>Travel, Room, Broad</t>
  </si>
  <si>
    <t>Travel</t>
  </si>
  <si>
    <t>Room</t>
  </si>
  <si>
    <t>Broad</t>
  </si>
  <si>
    <t>Price</t>
  </si>
  <si>
    <t>Unit</t>
  </si>
  <si>
    <t>6240 Sales Commission</t>
  </si>
  <si>
    <t>Target Net Income (i.e. 23%)</t>
  </si>
  <si>
    <t>Constraints</t>
  </si>
  <si>
    <t>Days, Engineering</t>
  </si>
  <si>
    <t>&lt;=</t>
  </si>
  <si>
    <t>=</t>
  </si>
  <si>
    <t>Daily Wage, Engineering</t>
  </si>
  <si>
    <t>&gt;=</t>
  </si>
  <si>
    <t>Service Cost</t>
  </si>
  <si>
    <t>Sensitivity Analysis</t>
  </si>
  <si>
    <t>Service Days</t>
  </si>
  <si>
    <t>Scenario Analysis</t>
  </si>
  <si>
    <t>Project Revenue</t>
  </si>
  <si>
    <t>Project Costs</t>
  </si>
  <si>
    <t>Net Income</t>
  </si>
  <si>
    <t>Revenue Scenario</t>
  </si>
  <si>
    <t>Cost Scenario</t>
  </si>
  <si>
    <t>1. Best Case</t>
  </si>
  <si>
    <t>2. Base Base</t>
  </si>
  <si>
    <t>3. Worst Case</t>
  </si>
  <si>
    <t>Project P/L Forecasting</t>
  </si>
  <si>
    <t>Choose Case  --&gt;</t>
  </si>
  <si>
    <t>Goal Seek, Sensitivity Analysis, Cost Budgeting,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</si>
</sst>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yyyy\E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7" applyNumberFormat="0" applyFill="0" applyAlignment="0" applyProtection="0"/>
  </cellStyleXfs>
  <cellXfs count="33">
    <xf numFmtId="0" fontId="0" fillId="0" borderId="0" xfId="0"/>
    <xf numFmtId="0" fontId="2" fillId="0" borderId="0" xfId="0" applyFont="1"/>
    <xf numFmtId="164" fontId="2" fillId="0" borderId="0" xfId="1" applyNumberFormat="1" applyFont="1"/>
    <xf numFmtId="43" fontId="2" fillId="0" borderId="0" xfId="0" applyNumberFormat="1" applyFont="1"/>
    <xf numFmtId="0" fontId="2" fillId="0" borderId="0" xfId="0" applyFont="1" applyAlignment="1">
      <alignment horizontal="right"/>
    </xf>
    <xf numFmtId="164" fontId="2" fillId="4" borderId="0" xfId="1" applyNumberFormat="1" applyFont="1" applyFill="1"/>
    <xf numFmtId="165" fontId="2" fillId="4" borderId="0" xfId="0" applyNumberFormat="1" applyFont="1" applyFill="1"/>
    <xf numFmtId="165" fontId="2" fillId="0" borderId="0" xfId="0" applyNumberFormat="1" applyFont="1"/>
    <xf numFmtId="164" fontId="2" fillId="0" borderId="0" xfId="1" applyNumberFormat="1" applyFont="1" applyFill="1"/>
    <xf numFmtId="164" fontId="2" fillId="0" borderId="1" xfId="1" applyNumberFormat="1" applyFont="1" applyBorder="1"/>
    <xf numFmtId="164" fontId="2" fillId="0" borderId="3" xfId="1" applyNumberFormat="1" applyFont="1" applyFill="1" applyBorder="1"/>
    <xf numFmtId="164" fontId="2" fillId="5" borderId="3" xfId="1" applyNumberFormat="1" applyFont="1" applyFill="1" applyBorder="1"/>
    <xf numFmtId="1" fontId="2" fillId="0" borderId="0" xfId="0" applyNumberFormat="1" applyFont="1"/>
    <xf numFmtId="164" fontId="2" fillId="0" borderId="4" xfId="1" applyNumberFormat="1" applyFont="1" applyBorder="1"/>
    <xf numFmtId="164" fontId="2" fillId="0" borderId="5" xfId="1" applyNumberFormat="1" applyFont="1" applyBorder="1"/>
    <xf numFmtId="164" fontId="2" fillId="0" borderId="2" xfId="1" applyNumberFormat="1" applyFont="1" applyBorder="1"/>
    <xf numFmtId="164" fontId="3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6" borderId="0" xfId="1" applyNumberFormat="1" applyFont="1" applyFill="1"/>
    <xf numFmtId="0" fontId="5" fillId="0" borderId="0" xfId="0" applyFont="1" applyAlignment="1">
      <alignment textRotation="90" wrapText="1"/>
    </xf>
    <xf numFmtId="0" fontId="3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textRotation="90" wrapText="1"/>
    </xf>
    <xf numFmtId="0" fontId="3" fillId="2" borderId="0" xfId="0" applyFont="1" applyFill="1" applyAlignment="1">
      <alignment horizontal="center"/>
    </xf>
    <xf numFmtId="0" fontId="2" fillId="0" borderId="8" xfId="0" applyFont="1" applyBorder="1"/>
    <xf numFmtId="166" fontId="2" fillId="0" borderId="0" xfId="0" applyNumberFormat="1" applyFont="1"/>
    <xf numFmtId="0" fontId="5" fillId="0" borderId="7" xfId="2" applyFont="1"/>
    <xf numFmtId="164" fontId="5" fillId="0" borderId="7" xfId="1" applyNumberFormat="1" applyFont="1" applyBorder="1"/>
    <xf numFmtId="0" fontId="5" fillId="7" borderId="0" xfId="0" applyFont="1" applyFill="1"/>
    <xf numFmtId="0" fontId="2" fillId="7" borderId="0" xfId="0" applyFont="1" applyFill="1"/>
    <xf numFmtId="164" fontId="2" fillId="7" borderId="0" xfId="1" applyNumberFormat="1" applyFont="1" applyFill="1"/>
  </cellXfs>
  <cellStyles count="3">
    <cellStyle name="Comma" xfId="1" builtinId="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F14B-35AE-46A8-9CA7-6BB00E2C49AD}">
  <dimension ref="A1:E20"/>
  <sheetViews>
    <sheetView showGridLines="0" tabSelected="1" workbookViewId="0">
      <selection activeCell="C4" sqref="C4"/>
    </sheetView>
  </sheetViews>
  <sheetFormatPr defaultRowHeight="12" x14ac:dyDescent="0.2"/>
  <cols>
    <col min="1" max="1" width="9.140625" style="1"/>
    <col min="2" max="2" width="17" style="1" bestFit="1" customWidth="1"/>
    <col min="3" max="5" width="13.28515625" style="1" bestFit="1" customWidth="1"/>
    <col min="6" max="16384" width="9.140625" style="1"/>
  </cols>
  <sheetData>
    <row r="1" spans="1:5" x14ac:dyDescent="0.2">
      <c r="A1" s="1" t="s">
        <v>74</v>
      </c>
    </row>
    <row r="2" spans="1:5" x14ac:dyDescent="0.2">
      <c r="A2" s="1" t="s">
        <v>31</v>
      </c>
    </row>
    <row r="4" spans="1:5" x14ac:dyDescent="0.2">
      <c r="B4" s="26" t="s">
        <v>75</v>
      </c>
      <c r="C4" s="26">
        <v>2</v>
      </c>
    </row>
    <row r="6" spans="1:5" x14ac:dyDescent="0.2">
      <c r="B6" s="25" t="s">
        <v>65</v>
      </c>
      <c r="C6" s="25"/>
      <c r="D6" s="25"/>
      <c r="E6" s="25"/>
    </row>
    <row r="7" spans="1:5" x14ac:dyDescent="0.2">
      <c r="C7" s="27">
        <v>45122</v>
      </c>
      <c r="D7" s="27">
        <f>EDATE(C7,12)</f>
        <v>45488</v>
      </c>
      <c r="E7" s="27">
        <f>EDATE(D7,12)</f>
        <v>45853</v>
      </c>
    </row>
    <row r="8" spans="1:5" x14ac:dyDescent="0.2">
      <c r="B8" s="1" t="s">
        <v>66</v>
      </c>
      <c r="C8" s="2">
        <f>CHOOSE($C$4,C13,C14,C15)</f>
        <v>2250000</v>
      </c>
      <c r="D8" s="2">
        <f t="shared" ref="D8:E8" si="0">CHOOSE($C$4,D13,D14,D15)</f>
        <v>2587500</v>
      </c>
      <c r="E8" s="2">
        <f t="shared" si="0"/>
        <v>2975625</v>
      </c>
    </row>
    <row r="9" spans="1:5" x14ac:dyDescent="0.2">
      <c r="B9" s="1" t="s">
        <v>67</v>
      </c>
      <c r="C9" s="2">
        <f>CHOOSE($C$4,C18,C19,C20)</f>
        <v>-1526999.99999997</v>
      </c>
      <c r="D9" s="2">
        <f t="shared" ref="D9:E9" si="1">CHOOSE($C$4,D18,D19,D20)</f>
        <v>-1679699.9999999672</v>
      </c>
      <c r="E9" s="2">
        <f t="shared" si="1"/>
        <v>-1847669.9999999641</v>
      </c>
    </row>
    <row r="10" spans="1:5" ht="12.75" thickBot="1" x14ac:dyDescent="0.25">
      <c r="B10" s="28" t="s">
        <v>68</v>
      </c>
      <c r="C10" s="29">
        <f>SUM(C8:C9)</f>
        <v>723000.00000003004</v>
      </c>
      <c r="D10" s="29">
        <f t="shared" ref="D10:E10" si="2">SUM(D8:D9)</f>
        <v>907800.00000003283</v>
      </c>
      <c r="E10" s="29">
        <f t="shared" si="2"/>
        <v>1127955.0000000359</v>
      </c>
    </row>
    <row r="11" spans="1:5" ht="12.75" thickTop="1" x14ac:dyDescent="0.2"/>
    <row r="12" spans="1:5" x14ac:dyDescent="0.2">
      <c r="B12" s="30" t="s">
        <v>69</v>
      </c>
      <c r="C12" s="31"/>
      <c r="D12" s="31"/>
      <c r="E12" s="31"/>
    </row>
    <row r="13" spans="1:5" x14ac:dyDescent="0.2">
      <c r="B13" s="31" t="s">
        <v>71</v>
      </c>
      <c r="C13" s="32">
        <f>C14*1.2</f>
        <v>2700000</v>
      </c>
      <c r="D13" s="32">
        <f>C13*1.15</f>
        <v>3104999.9999999995</v>
      </c>
      <c r="E13" s="32">
        <f>D13*1.15</f>
        <v>3570749.9999999991</v>
      </c>
    </row>
    <row r="14" spans="1:5" x14ac:dyDescent="0.2">
      <c r="B14" s="31" t="s">
        <v>72</v>
      </c>
      <c r="C14" s="32">
        <v>2250000</v>
      </c>
      <c r="D14" s="32">
        <f t="shared" ref="D14:E14" si="3">C14*1.15</f>
        <v>2587500</v>
      </c>
      <c r="E14" s="32">
        <f t="shared" si="3"/>
        <v>2975625</v>
      </c>
    </row>
    <row r="15" spans="1:5" x14ac:dyDescent="0.2">
      <c r="B15" s="31" t="s">
        <v>73</v>
      </c>
      <c r="C15" s="32">
        <f>C14*0.7</f>
        <v>1575000</v>
      </c>
      <c r="D15" s="32">
        <f t="shared" ref="D15:E15" si="4">C15*1.15</f>
        <v>1811249.9999999998</v>
      </c>
      <c r="E15" s="32">
        <f t="shared" si="4"/>
        <v>2082937.4999999995</v>
      </c>
    </row>
    <row r="16" spans="1:5" x14ac:dyDescent="0.2">
      <c r="B16" s="31"/>
      <c r="C16" s="32"/>
      <c r="D16" s="32"/>
      <c r="E16" s="32"/>
    </row>
    <row r="17" spans="2:5" x14ac:dyDescent="0.2">
      <c r="B17" s="30" t="s">
        <v>70</v>
      </c>
      <c r="C17" s="32"/>
      <c r="D17" s="32"/>
      <c r="E17" s="32"/>
    </row>
    <row r="18" spans="2:5" x14ac:dyDescent="0.2">
      <c r="B18" s="31" t="s">
        <v>71</v>
      </c>
      <c r="C18" s="32">
        <f>C19*0.9</f>
        <v>-1374299.999999973</v>
      </c>
      <c r="D18" s="32">
        <f>C18*1.1</f>
        <v>-1511729.9999999704</v>
      </c>
      <c r="E18" s="32">
        <f>D18*1.1</f>
        <v>-1662902.9999999676</v>
      </c>
    </row>
    <row r="19" spans="2:5" x14ac:dyDescent="0.2">
      <c r="B19" s="31" t="s">
        <v>72</v>
      </c>
      <c r="C19" s="32">
        <v>-1526999.99999997</v>
      </c>
      <c r="D19" s="32">
        <f t="shared" ref="D19:E19" si="5">C19*1.1</f>
        <v>-1679699.9999999672</v>
      </c>
      <c r="E19" s="32">
        <f t="shared" si="5"/>
        <v>-1847669.9999999641</v>
      </c>
    </row>
    <row r="20" spans="2:5" x14ac:dyDescent="0.2">
      <c r="B20" s="31" t="s">
        <v>73</v>
      </c>
      <c r="C20" s="32">
        <f>C19*1.3</f>
        <v>-1985099.9999999611</v>
      </c>
      <c r="D20" s="32">
        <f t="shared" ref="D20:E20" si="6">C20*1.1</f>
        <v>-2183609.9999999576</v>
      </c>
      <c r="E20" s="32">
        <f t="shared" si="6"/>
        <v>-2401970.9999999534</v>
      </c>
    </row>
  </sheetData>
  <mergeCells count="1">
    <mergeCell ref="B6:E6"/>
  </mergeCells>
  <dataValidations count="1">
    <dataValidation type="list" allowBlank="1" showInputMessage="1" showErrorMessage="1" sqref="C4" xr:uid="{F2D9E9C4-CE19-493C-B014-D6598FB1324A}">
      <formula1>"1,2,3"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C886-F7AC-437F-9EBC-5904B72701F4}">
  <dimension ref="A1:V41"/>
  <sheetViews>
    <sheetView showGridLines="0" workbookViewId="0">
      <selection activeCell="A3" sqref="A3"/>
    </sheetView>
  </sheetViews>
  <sheetFormatPr defaultRowHeight="12" x14ac:dyDescent="0.2"/>
  <cols>
    <col min="1" max="2" width="4.28515625" style="1" customWidth="1"/>
    <col min="3" max="3" width="5" style="1" customWidth="1"/>
    <col min="4" max="4" width="4.28515625" style="1" customWidth="1"/>
    <col min="5" max="5" width="9.140625" style="1"/>
    <col min="6" max="6" width="12.85546875" style="1" customWidth="1"/>
    <col min="7" max="7" width="14.5703125" style="2" bestFit="1" customWidth="1"/>
    <col min="8" max="8" width="12.42578125" style="1" bestFit="1" customWidth="1"/>
    <col min="9" max="9" width="7.5703125" style="1" customWidth="1"/>
    <col min="10" max="10" width="3.42578125" style="1" customWidth="1"/>
    <col min="11" max="11" width="7.28515625" style="1" customWidth="1"/>
    <col min="12" max="13" width="9.140625" style="1"/>
    <col min="14" max="14" width="11" style="1" bestFit="1" customWidth="1"/>
    <col min="15" max="15" width="9.140625" style="1"/>
    <col min="16" max="16" width="11.140625" style="1" customWidth="1"/>
    <col min="17" max="17" width="9.140625" style="1"/>
    <col min="18" max="21" width="12" style="1" bestFit="1" customWidth="1"/>
    <col min="22" max="16384" width="9.140625" style="1"/>
  </cols>
  <sheetData>
    <row r="1" spans="1:22" x14ac:dyDescent="0.2">
      <c r="A1" s="1" t="s">
        <v>30</v>
      </c>
    </row>
    <row r="2" spans="1:22" x14ac:dyDescent="0.2">
      <c r="A2" s="1" t="s">
        <v>31</v>
      </c>
    </row>
    <row r="3" spans="1:22" x14ac:dyDescent="0.2">
      <c r="A3" s="1" t="s">
        <v>76</v>
      </c>
    </row>
    <row r="4" spans="1:22" x14ac:dyDescent="0.2">
      <c r="A4" s="1" t="s">
        <v>33</v>
      </c>
    </row>
    <row r="6" spans="1:22" x14ac:dyDescent="0.2">
      <c r="A6" s="25" t="s">
        <v>46</v>
      </c>
      <c r="B6" s="25"/>
      <c r="C6" s="25"/>
      <c r="D6" s="25"/>
      <c r="E6" s="25"/>
      <c r="F6" s="25"/>
      <c r="G6" s="25"/>
      <c r="H6" s="25"/>
      <c r="J6" s="22" t="s">
        <v>63</v>
      </c>
      <c r="K6" s="22"/>
      <c r="L6" s="22"/>
      <c r="M6" s="22"/>
      <c r="N6" s="22"/>
      <c r="O6" s="22"/>
      <c r="P6" s="22"/>
      <c r="R6" s="25" t="s">
        <v>62</v>
      </c>
      <c r="S6" s="25"/>
      <c r="T6" s="25"/>
      <c r="U6" s="25"/>
      <c r="V6" s="25"/>
    </row>
    <row r="7" spans="1:22" x14ac:dyDescent="0.2">
      <c r="G7" s="2" t="s">
        <v>28</v>
      </c>
      <c r="H7" s="1" t="s">
        <v>29</v>
      </c>
      <c r="L7" s="23" t="s">
        <v>64</v>
      </c>
      <c r="M7" s="23"/>
      <c r="N7" s="23"/>
      <c r="O7" s="23"/>
      <c r="P7" s="23"/>
      <c r="S7" s="1" t="s">
        <v>39</v>
      </c>
      <c r="T7" s="1" t="s">
        <v>40</v>
      </c>
      <c r="U7" s="1" t="s">
        <v>45</v>
      </c>
      <c r="V7" s="1" t="s">
        <v>42</v>
      </c>
    </row>
    <row r="8" spans="1:22" x14ac:dyDescent="0.2">
      <c r="A8" s="1" t="s">
        <v>20</v>
      </c>
      <c r="K8" s="16">
        <f>G40</f>
        <v>517500.0000000291</v>
      </c>
      <c r="L8" s="17">
        <v>61</v>
      </c>
      <c r="M8" s="17">
        <v>63</v>
      </c>
      <c r="N8" s="18">
        <v>65</v>
      </c>
      <c r="O8" s="17">
        <v>67</v>
      </c>
      <c r="P8" s="17">
        <v>71</v>
      </c>
      <c r="R8" s="1" t="s">
        <v>36</v>
      </c>
      <c r="S8" s="1">
        <v>90</v>
      </c>
      <c r="T8" s="4" t="s">
        <v>41</v>
      </c>
      <c r="U8" s="4" t="s">
        <v>41</v>
      </c>
      <c r="V8" s="4" t="s">
        <v>41</v>
      </c>
    </row>
    <row r="9" spans="1:22" ht="13.5" customHeight="1" x14ac:dyDescent="0.2">
      <c r="B9" s="1" t="s">
        <v>32</v>
      </c>
      <c r="G9" s="2">
        <v>1500000</v>
      </c>
      <c r="J9" s="24" t="s">
        <v>60</v>
      </c>
      <c r="K9" s="2">
        <v>3100</v>
      </c>
      <c r="L9" s="14">
        <f t="dataTable" ref="L9:P17" dt2D="1" dtr="1" r1="S9" r2="T9"/>
        <v>661225</v>
      </c>
      <c r="M9" s="15">
        <v>629105</v>
      </c>
      <c r="N9" s="15">
        <v>596985</v>
      </c>
      <c r="O9" s="15">
        <v>564865</v>
      </c>
      <c r="P9" s="15">
        <v>500625</v>
      </c>
      <c r="R9" s="1" t="s">
        <v>35</v>
      </c>
      <c r="S9" s="7">
        <v>65</v>
      </c>
      <c r="T9" s="8">
        <v>3365.8361204012408</v>
      </c>
      <c r="U9" s="1">
        <v>4</v>
      </c>
      <c r="V9" s="2">
        <f>S9*T9*U9</f>
        <v>875117.39130432263</v>
      </c>
    </row>
    <row r="10" spans="1:22" x14ac:dyDescent="0.2">
      <c r="B10" s="1" t="s">
        <v>27</v>
      </c>
      <c r="G10" s="2">
        <v>750000</v>
      </c>
      <c r="J10" s="24"/>
      <c r="K10" s="2">
        <v>3200</v>
      </c>
      <c r="L10" s="13">
        <v>633165</v>
      </c>
      <c r="M10" s="2">
        <v>600125</v>
      </c>
      <c r="N10" s="2">
        <v>567085</v>
      </c>
      <c r="O10" s="2">
        <v>534045</v>
      </c>
      <c r="P10" s="2">
        <v>467965</v>
      </c>
      <c r="R10" s="1" t="s">
        <v>37</v>
      </c>
      <c r="S10" s="1">
        <v>25</v>
      </c>
      <c r="T10" s="2">
        <v>3500</v>
      </c>
      <c r="U10" s="1">
        <v>1</v>
      </c>
      <c r="V10" s="2">
        <f>S10*T10*U10</f>
        <v>87500</v>
      </c>
    </row>
    <row r="11" spans="1:22" x14ac:dyDescent="0.2">
      <c r="A11" s="1" t="s">
        <v>0</v>
      </c>
      <c r="G11" s="9">
        <f>G9+G10</f>
        <v>2250000</v>
      </c>
      <c r="J11" s="24"/>
      <c r="K11" s="2">
        <v>3300</v>
      </c>
      <c r="L11" s="13">
        <v>605105</v>
      </c>
      <c r="M11" s="19">
        <v>571145</v>
      </c>
      <c r="N11" s="19">
        <v>537185</v>
      </c>
      <c r="O11" s="19">
        <v>503225</v>
      </c>
      <c r="P11" s="2">
        <v>435305</v>
      </c>
      <c r="R11" s="1" t="s">
        <v>38</v>
      </c>
      <c r="S11" s="1">
        <v>30</v>
      </c>
      <c r="T11" s="2">
        <v>2460</v>
      </c>
      <c r="U11" s="1">
        <v>2</v>
      </c>
      <c r="V11" s="2">
        <f>S11*T11*U11</f>
        <v>147600</v>
      </c>
    </row>
    <row r="12" spans="1:22" x14ac:dyDescent="0.2">
      <c r="A12" s="1" t="s">
        <v>19</v>
      </c>
      <c r="J12" s="24"/>
      <c r="K12" s="2">
        <v>3366</v>
      </c>
      <c r="L12" s="13">
        <v>586585.39999999991</v>
      </c>
      <c r="M12" s="19">
        <v>552018.19999999995</v>
      </c>
      <c r="N12" s="19">
        <v>517451</v>
      </c>
      <c r="O12" s="19">
        <v>482883.80000000005</v>
      </c>
      <c r="P12" s="2">
        <v>413749.39999999991</v>
      </c>
    </row>
    <row r="13" spans="1:22" x14ac:dyDescent="0.2">
      <c r="B13" s="1" t="s">
        <v>12</v>
      </c>
      <c r="J13" s="24"/>
      <c r="K13" s="2">
        <v>3500</v>
      </c>
      <c r="L13" s="13">
        <v>548985</v>
      </c>
      <c r="M13" s="19">
        <v>513185</v>
      </c>
      <c r="N13" s="19">
        <v>477385</v>
      </c>
      <c r="O13" s="19">
        <v>441585</v>
      </c>
      <c r="P13" s="2">
        <v>369985</v>
      </c>
      <c r="R13" s="25" t="s">
        <v>48</v>
      </c>
      <c r="S13" s="25"/>
      <c r="T13" s="25"/>
      <c r="U13" s="25"/>
      <c r="V13" s="25"/>
    </row>
    <row r="14" spans="1:22" ht="12" customHeight="1" x14ac:dyDescent="0.2">
      <c r="C14" s="1" t="s">
        <v>9</v>
      </c>
      <c r="G14" s="2">
        <f>V9</f>
        <v>875117.39130432263</v>
      </c>
      <c r="J14" s="24"/>
      <c r="K14" s="2">
        <v>3600</v>
      </c>
      <c r="L14" s="13">
        <v>520925</v>
      </c>
      <c r="M14" s="2">
        <v>484205</v>
      </c>
      <c r="N14" s="2">
        <v>447485</v>
      </c>
      <c r="O14" s="2">
        <v>410765</v>
      </c>
      <c r="P14" s="2">
        <v>337325</v>
      </c>
      <c r="S14" s="1" t="s">
        <v>53</v>
      </c>
      <c r="T14" s="1" t="s">
        <v>45</v>
      </c>
      <c r="U14" s="1" t="s">
        <v>52</v>
      </c>
      <c r="V14" s="1" t="s">
        <v>42</v>
      </c>
    </row>
    <row r="15" spans="1:22" x14ac:dyDescent="0.2">
      <c r="C15" s="1" t="s">
        <v>10</v>
      </c>
      <c r="G15" s="2">
        <f>V10</f>
        <v>87500</v>
      </c>
      <c r="J15" s="24"/>
      <c r="K15" s="2">
        <v>3700</v>
      </c>
      <c r="L15" s="13">
        <v>492865</v>
      </c>
      <c r="M15" s="2">
        <v>455225</v>
      </c>
      <c r="N15" s="2">
        <v>417585</v>
      </c>
      <c r="O15" s="2">
        <v>379945</v>
      </c>
      <c r="P15" s="2">
        <v>304665</v>
      </c>
      <c r="R15" s="1" t="s">
        <v>49</v>
      </c>
      <c r="S15" s="1">
        <v>5</v>
      </c>
      <c r="T15" s="1">
        <v>7</v>
      </c>
      <c r="U15" s="2">
        <v>1000</v>
      </c>
      <c r="V15" s="2">
        <f>S15*T15*U15</f>
        <v>35000</v>
      </c>
    </row>
    <row r="16" spans="1:22" x14ac:dyDescent="0.2">
      <c r="C16" s="1" t="s">
        <v>11</v>
      </c>
      <c r="G16" s="2">
        <f>V11</f>
        <v>147600</v>
      </c>
      <c r="J16" s="24"/>
      <c r="K16" s="2">
        <v>3800</v>
      </c>
      <c r="L16" s="13">
        <v>464805</v>
      </c>
      <c r="M16" s="2">
        <v>426245</v>
      </c>
      <c r="N16" s="2">
        <v>387685</v>
      </c>
      <c r="O16" s="2">
        <v>349125</v>
      </c>
      <c r="P16" s="2">
        <v>272005</v>
      </c>
      <c r="R16" s="1" t="s">
        <v>50</v>
      </c>
      <c r="S16" s="12">
        <f>S9*U9+S10*U10+S11*U11</f>
        <v>345</v>
      </c>
      <c r="T16" s="4" t="s">
        <v>41</v>
      </c>
      <c r="U16" s="2">
        <v>350</v>
      </c>
      <c r="V16" s="2">
        <f>S16*U16</f>
        <v>120750</v>
      </c>
    </row>
    <row r="17" spans="1:22" x14ac:dyDescent="0.2">
      <c r="C17" s="1" t="s">
        <v>43</v>
      </c>
      <c r="G17" s="2">
        <f>SUM(G14:G16)*0.15</f>
        <v>166532.60869564838</v>
      </c>
      <c r="J17" s="24"/>
      <c r="K17" s="2">
        <v>3900</v>
      </c>
      <c r="L17" s="13">
        <v>436745</v>
      </c>
      <c r="M17" s="2">
        <v>397265</v>
      </c>
      <c r="N17" s="2">
        <v>357785</v>
      </c>
      <c r="O17" s="2">
        <v>318305</v>
      </c>
      <c r="P17" s="2">
        <v>239345</v>
      </c>
      <c r="R17" s="1" t="s">
        <v>51</v>
      </c>
      <c r="S17" s="12">
        <f>S16</f>
        <v>345</v>
      </c>
      <c r="T17" s="4" t="s">
        <v>41</v>
      </c>
      <c r="U17" s="2">
        <v>100</v>
      </c>
      <c r="V17" s="2">
        <f>S17*U17</f>
        <v>34500</v>
      </c>
    </row>
    <row r="18" spans="1:22" x14ac:dyDescent="0.2">
      <c r="B18" s="1" t="s">
        <v>13</v>
      </c>
      <c r="J18" s="20"/>
    </row>
    <row r="19" spans="1:22" x14ac:dyDescent="0.2">
      <c r="C19" s="1" t="s">
        <v>14</v>
      </c>
      <c r="G19" s="2">
        <v>30000</v>
      </c>
      <c r="R19" s="21" t="s">
        <v>56</v>
      </c>
      <c r="S19" s="21"/>
      <c r="T19" s="21"/>
      <c r="U19" s="21"/>
      <c r="V19" s="21"/>
    </row>
    <row r="20" spans="1:22" x14ac:dyDescent="0.2">
      <c r="C20" s="1" t="s">
        <v>15</v>
      </c>
      <c r="G20" s="2">
        <v>20000</v>
      </c>
      <c r="R20" s="1" t="s">
        <v>55</v>
      </c>
      <c r="S20" s="2">
        <f>2250000*0.23</f>
        <v>517500</v>
      </c>
      <c r="T20" s="1" t="s">
        <v>59</v>
      </c>
    </row>
    <row r="21" spans="1:22" x14ac:dyDescent="0.2">
      <c r="C21" s="1" t="s">
        <v>47</v>
      </c>
      <c r="G21" s="2">
        <v>0</v>
      </c>
      <c r="R21" s="1" t="s">
        <v>60</v>
      </c>
      <c r="S21" s="1">
        <v>4200</v>
      </c>
      <c r="T21" s="1" t="s">
        <v>58</v>
      </c>
    </row>
    <row r="22" spans="1:22" x14ac:dyDescent="0.2">
      <c r="C22" s="1" t="s">
        <v>16</v>
      </c>
      <c r="G22" s="2">
        <f>SUM(V15:V17)</f>
        <v>190250</v>
      </c>
      <c r="R22" s="1" t="s">
        <v>57</v>
      </c>
      <c r="S22" s="1">
        <v>70</v>
      </c>
      <c r="T22" s="1" t="s">
        <v>58</v>
      </c>
    </row>
    <row r="23" spans="1:22" x14ac:dyDescent="0.2">
      <c r="B23" s="1" t="s">
        <v>17</v>
      </c>
      <c r="R23" s="1" t="s">
        <v>57</v>
      </c>
      <c r="S23" s="1">
        <v>65</v>
      </c>
      <c r="T23" s="1" t="s">
        <v>61</v>
      </c>
    </row>
    <row r="24" spans="1:22" x14ac:dyDescent="0.2">
      <c r="C24" s="1" t="s">
        <v>18</v>
      </c>
      <c r="G24" s="2">
        <v>10000</v>
      </c>
    </row>
    <row r="25" spans="1:22" x14ac:dyDescent="0.2">
      <c r="A25" s="1" t="s">
        <v>21</v>
      </c>
      <c r="G25" s="9">
        <f>SUM(G14:G24)</f>
        <v>1526999.9999999709</v>
      </c>
    </row>
    <row r="26" spans="1:22" x14ac:dyDescent="0.2">
      <c r="A26" s="1" t="s">
        <v>1</v>
      </c>
      <c r="G26" s="2">
        <f>G11-G25</f>
        <v>723000.0000000291</v>
      </c>
      <c r="H26" s="3"/>
      <c r="I26" s="3"/>
    </row>
    <row r="27" spans="1:22" x14ac:dyDescent="0.2">
      <c r="A27" s="1" t="s">
        <v>2</v>
      </c>
    </row>
    <row r="28" spans="1:22" x14ac:dyDescent="0.2">
      <c r="B28" s="1" t="s">
        <v>44</v>
      </c>
    </row>
    <row r="29" spans="1:22" x14ac:dyDescent="0.2">
      <c r="C29" s="1" t="s">
        <v>5</v>
      </c>
      <c r="G29" s="2">
        <v>80000</v>
      </c>
    </row>
    <row r="30" spans="1:22" x14ac:dyDescent="0.2">
      <c r="C30" s="1" t="s">
        <v>6</v>
      </c>
      <c r="G30" s="2">
        <f>G29*0.15</f>
        <v>12000</v>
      </c>
    </row>
    <row r="31" spans="1:22" x14ac:dyDescent="0.2">
      <c r="C31" s="1" t="s">
        <v>7</v>
      </c>
      <c r="G31" s="2">
        <v>2000</v>
      </c>
    </row>
    <row r="32" spans="1:22" x14ac:dyDescent="0.2">
      <c r="C32" s="1" t="s">
        <v>8</v>
      </c>
      <c r="G32" s="2">
        <f>5*20*90</f>
        <v>9000</v>
      </c>
    </row>
    <row r="33" spans="1:7" x14ac:dyDescent="0.2">
      <c r="B33" s="1" t="s">
        <v>3</v>
      </c>
    </row>
    <row r="34" spans="1:7" x14ac:dyDescent="0.2">
      <c r="C34" s="1" t="s">
        <v>54</v>
      </c>
      <c r="G34" s="2">
        <f>G11*0.01</f>
        <v>22500</v>
      </c>
    </row>
    <row r="35" spans="1:7" x14ac:dyDescent="0.2">
      <c r="C35" s="1" t="s">
        <v>4</v>
      </c>
      <c r="G35" s="2">
        <v>10000</v>
      </c>
    </row>
    <row r="36" spans="1:7" x14ac:dyDescent="0.2">
      <c r="B36" s="1" t="s">
        <v>22</v>
      </c>
    </row>
    <row r="37" spans="1:7" x14ac:dyDescent="0.2">
      <c r="C37" s="1" t="s">
        <v>23</v>
      </c>
      <c r="G37" s="2">
        <v>50000</v>
      </c>
    </row>
    <row r="38" spans="1:7" x14ac:dyDescent="0.2">
      <c r="C38" s="1" t="s">
        <v>24</v>
      </c>
      <c r="G38" s="2">
        <v>20000</v>
      </c>
    </row>
    <row r="39" spans="1:7" x14ac:dyDescent="0.2">
      <c r="A39" s="1" t="s">
        <v>25</v>
      </c>
      <c r="G39" s="9">
        <f>SUM(G29:G38)</f>
        <v>205500</v>
      </c>
    </row>
    <row r="40" spans="1:7" ht="12.75" thickBot="1" x14ac:dyDescent="0.25">
      <c r="A40" s="1" t="s">
        <v>26</v>
      </c>
      <c r="G40" s="10">
        <f>G26-G39</f>
        <v>517500.0000000291</v>
      </c>
    </row>
    <row r="41" spans="1:7" ht="12.75" thickTop="1" x14ac:dyDescent="0.2"/>
  </sheetData>
  <mergeCells count="7">
    <mergeCell ref="R19:V19"/>
    <mergeCell ref="J6:P6"/>
    <mergeCell ref="L7:P7"/>
    <mergeCell ref="J9:J17"/>
    <mergeCell ref="A6:H6"/>
    <mergeCell ref="R6:V6"/>
    <mergeCell ref="R13:V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EF43-D812-4F14-9BEA-D9163A231536}">
  <dimension ref="A1:N41"/>
  <sheetViews>
    <sheetView showGridLines="0" workbookViewId="0">
      <selection activeCell="A3" sqref="A3"/>
    </sheetView>
  </sheetViews>
  <sheetFormatPr defaultRowHeight="12" x14ac:dyDescent="0.2"/>
  <cols>
    <col min="1" max="2" width="4.28515625" style="1" customWidth="1"/>
    <col min="3" max="3" width="5" style="1" customWidth="1"/>
    <col min="4" max="4" width="4.28515625" style="1" customWidth="1"/>
    <col min="5" max="5" width="9.140625" style="1"/>
    <col min="6" max="6" width="12.85546875" style="1" customWidth="1"/>
    <col min="7" max="7" width="14.5703125" style="2" bestFit="1" customWidth="1"/>
    <col min="8" max="8" width="12.42578125" style="1" bestFit="1" customWidth="1"/>
    <col min="9" max="9" width="11" style="1" bestFit="1" customWidth="1"/>
    <col min="10" max="10" width="23.7109375" style="1" bestFit="1" customWidth="1"/>
    <col min="11" max="11" width="11" style="1" bestFit="1" customWidth="1"/>
    <col min="12" max="13" width="9.140625" style="1"/>
    <col min="14" max="14" width="11" style="1" bestFit="1" customWidth="1"/>
    <col min="15" max="16384" width="9.140625" style="1"/>
  </cols>
  <sheetData>
    <row r="1" spans="1:14" x14ac:dyDescent="0.2">
      <c r="A1" s="1" t="s">
        <v>30</v>
      </c>
    </row>
    <row r="2" spans="1:14" x14ac:dyDescent="0.2">
      <c r="A2" s="1" t="s">
        <v>31</v>
      </c>
    </row>
    <row r="3" spans="1:14" x14ac:dyDescent="0.2">
      <c r="A3" s="1" t="s">
        <v>76</v>
      </c>
    </row>
    <row r="4" spans="1:14" x14ac:dyDescent="0.2">
      <c r="A4" s="1" t="s">
        <v>33</v>
      </c>
    </row>
    <row r="6" spans="1:14" x14ac:dyDescent="0.2">
      <c r="A6" s="25" t="s">
        <v>46</v>
      </c>
      <c r="B6" s="25"/>
      <c r="C6" s="25"/>
      <c r="D6" s="25"/>
      <c r="E6" s="25"/>
      <c r="F6" s="25"/>
      <c r="G6" s="25"/>
      <c r="H6" s="25"/>
      <c r="J6" s="25" t="s">
        <v>62</v>
      </c>
      <c r="K6" s="25"/>
      <c r="L6" s="25"/>
      <c r="M6" s="25"/>
      <c r="N6" s="25"/>
    </row>
    <row r="7" spans="1:14" x14ac:dyDescent="0.2">
      <c r="G7" s="2" t="s">
        <v>28</v>
      </c>
      <c r="H7" s="1" t="s">
        <v>29</v>
      </c>
      <c r="K7" s="1" t="s">
        <v>39</v>
      </c>
      <c r="L7" s="1" t="s">
        <v>40</v>
      </c>
      <c r="M7" s="1" t="s">
        <v>45</v>
      </c>
      <c r="N7" s="1" t="s">
        <v>42</v>
      </c>
    </row>
    <row r="8" spans="1:14" x14ac:dyDescent="0.2">
      <c r="A8" s="1" t="s">
        <v>20</v>
      </c>
      <c r="J8" s="1" t="s">
        <v>36</v>
      </c>
      <c r="K8" s="1">
        <v>90</v>
      </c>
      <c r="L8" s="4" t="s">
        <v>41</v>
      </c>
      <c r="M8" s="4" t="s">
        <v>41</v>
      </c>
      <c r="N8" s="4" t="s">
        <v>41</v>
      </c>
    </row>
    <row r="9" spans="1:14" x14ac:dyDescent="0.2">
      <c r="B9" s="1" t="s">
        <v>32</v>
      </c>
      <c r="G9" s="2">
        <v>1500000</v>
      </c>
      <c r="J9" s="1" t="s">
        <v>35</v>
      </c>
      <c r="K9" s="6">
        <v>65</v>
      </c>
      <c r="L9" s="5">
        <v>3365.8361204012408</v>
      </c>
      <c r="M9" s="1">
        <v>4</v>
      </c>
      <c r="N9" s="2">
        <f>K9*L9*M9</f>
        <v>875117.39130432263</v>
      </c>
    </row>
    <row r="10" spans="1:14" x14ac:dyDescent="0.2">
      <c r="B10" s="1" t="s">
        <v>27</v>
      </c>
      <c r="G10" s="2">
        <v>750000</v>
      </c>
      <c r="J10" s="1" t="s">
        <v>37</v>
      </c>
      <c r="K10" s="1">
        <v>25</v>
      </c>
      <c r="L10" s="2">
        <v>3500</v>
      </c>
      <c r="M10" s="1">
        <v>1</v>
      </c>
      <c r="N10" s="2">
        <f>K10*L10*M10</f>
        <v>87500</v>
      </c>
    </row>
    <row r="11" spans="1:14" x14ac:dyDescent="0.2">
      <c r="A11" s="1" t="s">
        <v>0</v>
      </c>
      <c r="G11" s="9">
        <f>G9+G10</f>
        <v>2250000</v>
      </c>
      <c r="J11" s="1" t="s">
        <v>38</v>
      </c>
      <c r="K11" s="1">
        <v>30</v>
      </c>
      <c r="L11" s="2">
        <v>2460</v>
      </c>
      <c r="M11" s="1">
        <v>2</v>
      </c>
      <c r="N11" s="2">
        <f>K11*L11*M11</f>
        <v>147600</v>
      </c>
    </row>
    <row r="12" spans="1:14" x14ac:dyDescent="0.2">
      <c r="A12" s="1" t="s">
        <v>19</v>
      </c>
    </row>
    <row r="13" spans="1:14" x14ac:dyDescent="0.2">
      <c r="B13" s="1" t="s">
        <v>12</v>
      </c>
      <c r="J13" s="25" t="s">
        <v>48</v>
      </c>
      <c r="K13" s="25"/>
      <c r="L13" s="25"/>
      <c r="M13" s="25"/>
      <c r="N13" s="25"/>
    </row>
    <row r="14" spans="1:14" x14ac:dyDescent="0.2">
      <c r="C14" s="1" t="s">
        <v>9</v>
      </c>
      <c r="G14" s="2">
        <f>N9</f>
        <v>875117.39130432263</v>
      </c>
      <c r="K14" s="1" t="s">
        <v>53</v>
      </c>
      <c r="L14" s="1" t="s">
        <v>45</v>
      </c>
      <c r="M14" s="1" t="s">
        <v>52</v>
      </c>
      <c r="N14" s="1" t="s">
        <v>42</v>
      </c>
    </row>
    <row r="15" spans="1:14" x14ac:dyDescent="0.2">
      <c r="C15" s="1" t="s">
        <v>10</v>
      </c>
      <c r="G15" s="2">
        <f>N10</f>
        <v>87500</v>
      </c>
      <c r="J15" s="1" t="s">
        <v>49</v>
      </c>
      <c r="K15" s="1">
        <v>5</v>
      </c>
      <c r="L15" s="1">
        <v>7</v>
      </c>
      <c r="M15" s="2">
        <v>1000</v>
      </c>
      <c r="N15" s="2">
        <f>K15*L15*M15</f>
        <v>35000</v>
      </c>
    </row>
    <row r="16" spans="1:14" x14ac:dyDescent="0.2">
      <c r="C16" s="1" t="s">
        <v>11</v>
      </c>
      <c r="G16" s="2">
        <f>N11</f>
        <v>147600</v>
      </c>
      <c r="J16" s="1" t="s">
        <v>50</v>
      </c>
      <c r="K16" s="12">
        <f>K9*M9+K10*M10+K11*M11</f>
        <v>345</v>
      </c>
      <c r="L16" s="4" t="s">
        <v>41</v>
      </c>
      <c r="M16" s="2">
        <v>350</v>
      </c>
      <c r="N16" s="2">
        <f>K16*M16</f>
        <v>120750</v>
      </c>
    </row>
    <row r="17" spans="1:14" x14ac:dyDescent="0.2">
      <c r="C17" s="1" t="s">
        <v>43</v>
      </c>
      <c r="G17" s="2">
        <f>SUM(G14:G16)*0.15</f>
        <v>166532.60869564838</v>
      </c>
      <c r="J17" s="1" t="s">
        <v>51</v>
      </c>
      <c r="K17" s="12">
        <f>K16</f>
        <v>345</v>
      </c>
      <c r="L17" s="4" t="s">
        <v>41</v>
      </c>
      <c r="M17" s="2">
        <v>100</v>
      </c>
      <c r="N17" s="2">
        <f>K17*M17</f>
        <v>34500</v>
      </c>
    </row>
    <row r="18" spans="1:14" x14ac:dyDescent="0.2">
      <c r="B18" s="1" t="s">
        <v>13</v>
      </c>
    </row>
    <row r="19" spans="1:14" x14ac:dyDescent="0.2">
      <c r="C19" s="1" t="s">
        <v>14</v>
      </c>
      <c r="G19" s="2">
        <v>30000</v>
      </c>
      <c r="J19" s="21" t="s">
        <v>56</v>
      </c>
      <c r="K19" s="21"/>
      <c r="L19" s="21"/>
      <c r="M19" s="21"/>
      <c r="N19" s="21"/>
    </row>
    <row r="20" spans="1:14" x14ac:dyDescent="0.2">
      <c r="C20" s="1" t="s">
        <v>15</v>
      </c>
      <c r="G20" s="2">
        <v>20000</v>
      </c>
      <c r="J20" s="1" t="s">
        <v>55</v>
      </c>
      <c r="K20" s="2">
        <f>2250000*0.23</f>
        <v>517500</v>
      </c>
      <c r="L20" s="1" t="s">
        <v>59</v>
      </c>
    </row>
    <row r="21" spans="1:14" x14ac:dyDescent="0.2">
      <c r="C21" s="1" t="s">
        <v>47</v>
      </c>
      <c r="G21" s="2">
        <v>0</v>
      </c>
      <c r="J21" s="1" t="s">
        <v>60</v>
      </c>
      <c r="K21" s="1">
        <v>4200</v>
      </c>
      <c r="L21" s="1" t="s">
        <v>58</v>
      </c>
    </row>
    <row r="22" spans="1:14" x14ac:dyDescent="0.2">
      <c r="C22" s="1" t="s">
        <v>16</v>
      </c>
      <c r="G22" s="2">
        <f>SUM(N15:N17)</f>
        <v>190250</v>
      </c>
      <c r="J22" s="1" t="s">
        <v>57</v>
      </c>
      <c r="K22" s="1">
        <v>70</v>
      </c>
      <c r="L22" s="1" t="s">
        <v>58</v>
      </c>
    </row>
    <row r="23" spans="1:14" x14ac:dyDescent="0.2">
      <c r="B23" s="1" t="s">
        <v>17</v>
      </c>
      <c r="J23" s="1" t="s">
        <v>57</v>
      </c>
      <c r="K23" s="1">
        <v>65</v>
      </c>
      <c r="L23" s="1" t="s">
        <v>61</v>
      </c>
    </row>
    <row r="24" spans="1:14" x14ac:dyDescent="0.2">
      <c r="C24" s="1" t="s">
        <v>18</v>
      </c>
      <c r="G24" s="2">
        <v>10000</v>
      </c>
    </row>
    <row r="25" spans="1:14" x14ac:dyDescent="0.2">
      <c r="A25" s="1" t="s">
        <v>21</v>
      </c>
      <c r="G25" s="9">
        <f>SUM(G14:G24)</f>
        <v>1526999.9999999709</v>
      </c>
    </row>
    <row r="26" spans="1:14" x14ac:dyDescent="0.2">
      <c r="A26" s="1" t="s">
        <v>1</v>
      </c>
      <c r="G26" s="2">
        <f>G11-G25</f>
        <v>723000.0000000291</v>
      </c>
      <c r="H26" s="3"/>
      <c r="I26" s="3"/>
    </row>
    <row r="27" spans="1:14" x14ac:dyDescent="0.2">
      <c r="A27" s="1" t="s">
        <v>2</v>
      </c>
    </row>
    <row r="28" spans="1:14" x14ac:dyDescent="0.2">
      <c r="B28" s="1" t="s">
        <v>44</v>
      </c>
    </row>
    <row r="29" spans="1:14" x14ac:dyDescent="0.2">
      <c r="C29" s="1" t="s">
        <v>5</v>
      </c>
      <c r="G29" s="2">
        <v>80000</v>
      </c>
    </row>
    <row r="30" spans="1:14" x14ac:dyDescent="0.2">
      <c r="C30" s="1" t="s">
        <v>6</v>
      </c>
      <c r="G30" s="2">
        <f>G29*0.15</f>
        <v>12000</v>
      </c>
    </row>
    <row r="31" spans="1:14" x14ac:dyDescent="0.2">
      <c r="C31" s="1" t="s">
        <v>7</v>
      </c>
      <c r="G31" s="2">
        <v>2000</v>
      </c>
    </row>
    <row r="32" spans="1:14" x14ac:dyDescent="0.2">
      <c r="C32" s="1" t="s">
        <v>8</v>
      </c>
      <c r="G32" s="2">
        <f>5*20*90</f>
        <v>9000</v>
      </c>
    </row>
    <row r="33" spans="1:7" x14ac:dyDescent="0.2">
      <c r="B33" s="1" t="s">
        <v>3</v>
      </c>
    </row>
    <row r="34" spans="1:7" x14ac:dyDescent="0.2">
      <c r="C34" s="1" t="s">
        <v>54</v>
      </c>
      <c r="G34" s="2">
        <f>G11*0.01</f>
        <v>22500</v>
      </c>
    </row>
    <row r="35" spans="1:7" x14ac:dyDescent="0.2">
      <c r="C35" s="1" t="s">
        <v>4</v>
      </c>
      <c r="G35" s="2">
        <v>10000</v>
      </c>
    </row>
    <row r="36" spans="1:7" x14ac:dyDescent="0.2">
      <c r="B36" s="1" t="s">
        <v>22</v>
      </c>
    </row>
    <row r="37" spans="1:7" x14ac:dyDescent="0.2">
      <c r="C37" s="1" t="s">
        <v>23</v>
      </c>
      <c r="G37" s="2">
        <v>50000</v>
      </c>
    </row>
    <row r="38" spans="1:7" x14ac:dyDescent="0.2">
      <c r="C38" s="1" t="s">
        <v>24</v>
      </c>
      <c r="G38" s="2">
        <v>20000</v>
      </c>
    </row>
    <row r="39" spans="1:7" x14ac:dyDescent="0.2">
      <c r="A39" s="1" t="s">
        <v>25</v>
      </c>
      <c r="G39" s="9">
        <f>SUM(G29:G38)</f>
        <v>205500</v>
      </c>
    </row>
    <row r="40" spans="1:7" ht="12.75" thickBot="1" x14ac:dyDescent="0.25">
      <c r="A40" s="1" t="s">
        <v>26</v>
      </c>
      <c r="G40" s="11">
        <f>G26-G39</f>
        <v>517500.0000000291</v>
      </c>
    </row>
    <row r="41" spans="1:7" ht="12.75" thickTop="1" x14ac:dyDescent="0.2"/>
  </sheetData>
  <mergeCells count="4">
    <mergeCell ref="A6:H6"/>
    <mergeCell ref="J6:N6"/>
    <mergeCell ref="J13:N13"/>
    <mergeCell ref="J19:N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7040-3E55-4504-B2AA-1B286DE3F16C}">
  <dimension ref="A1:N41"/>
  <sheetViews>
    <sheetView showGridLines="0" workbookViewId="0">
      <selection activeCell="G22" sqref="G22"/>
    </sheetView>
  </sheetViews>
  <sheetFormatPr defaultRowHeight="12" x14ac:dyDescent="0.2"/>
  <cols>
    <col min="1" max="2" width="4.28515625" style="1" customWidth="1"/>
    <col min="3" max="3" width="5" style="1" customWidth="1"/>
    <col min="4" max="4" width="4.28515625" style="1" customWidth="1"/>
    <col min="5" max="5" width="9.140625" style="1"/>
    <col min="6" max="6" width="12.85546875" style="1" customWidth="1"/>
    <col min="7" max="7" width="14.5703125" style="2" bestFit="1" customWidth="1"/>
    <col min="8" max="8" width="12.42578125" style="1" bestFit="1" customWidth="1"/>
    <col min="9" max="9" width="11" style="1" bestFit="1" customWidth="1"/>
    <col min="10" max="10" width="19.28515625" style="1" bestFit="1" customWidth="1"/>
    <col min="11" max="13" width="9.140625" style="1"/>
    <col min="14" max="14" width="11" style="1" bestFit="1" customWidth="1"/>
    <col min="15" max="16384" width="9.140625" style="1"/>
  </cols>
  <sheetData>
    <row r="1" spans="1:14" x14ac:dyDescent="0.2">
      <c r="A1" s="1" t="s">
        <v>30</v>
      </c>
    </row>
    <row r="2" spans="1:14" x14ac:dyDescent="0.2">
      <c r="A2" s="1" t="s">
        <v>31</v>
      </c>
    </row>
    <row r="3" spans="1:14" x14ac:dyDescent="0.2">
      <c r="A3" s="1" t="s">
        <v>76</v>
      </c>
    </row>
    <row r="4" spans="1:14" x14ac:dyDescent="0.2">
      <c r="A4" s="1" t="s">
        <v>33</v>
      </c>
    </row>
    <row r="6" spans="1:14" x14ac:dyDescent="0.2">
      <c r="A6" s="25" t="s">
        <v>46</v>
      </c>
      <c r="B6" s="25"/>
      <c r="C6" s="25"/>
      <c r="D6" s="25"/>
      <c r="E6" s="25"/>
      <c r="F6" s="25"/>
      <c r="G6" s="25"/>
      <c r="H6" s="25"/>
      <c r="J6" s="25" t="s">
        <v>34</v>
      </c>
      <c r="K6" s="25"/>
      <c r="L6" s="25"/>
      <c r="M6" s="25"/>
      <c r="N6" s="25"/>
    </row>
    <row r="7" spans="1:14" x14ac:dyDescent="0.2">
      <c r="G7" s="2" t="s">
        <v>28</v>
      </c>
      <c r="H7" s="1" t="s">
        <v>29</v>
      </c>
      <c r="K7" s="1" t="s">
        <v>39</v>
      </c>
      <c r="L7" s="1" t="s">
        <v>40</v>
      </c>
      <c r="M7" s="1" t="s">
        <v>45</v>
      </c>
      <c r="N7" s="1" t="s">
        <v>42</v>
      </c>
    </row>
    <row r="8" spans="1:14" x14ac:dyDescent="0.2">
      <c r="A8" s="1" t="s">
        <v>20</v>
      </c>
      <c r="J8" s="1" t="s">
        <v>36</v>
      </c>
      <c r="K8" s="1">
        <v>90</v>
      </c>
      <c r="L8" s="1" t="s">
        <v>41</v>
      </c>
    </row>
    <row r="9" spans="1:14" x14ac:dyDescent="0.2">
      <c r="B9" s="1" t="s">
        <v>32</v>
      </c>
      <c r="G9" s="2">
        <v>1500000</v>
      </c>
      <c r="J9" s="1" t="s">
        <v>35</v>
      </c>
      <c r="K9" s="1">
        <v>70</v>
      </c>
      <c r="L9" s="2">
        <v>3600</v>
      </c>
      <c r="M9" s="1">
        <v>4</v>
      </c>
      <c r="N9" s="2">
        <f>K9*L9*M9</f>
        <v>1008000</v>
      </c>
    </row>
    <row r="10" spans="1:14" x14ac:dyDescent="0.2">
      <c r="B10" s="1" t="s">
        <v>27</v>
      </c>
      <c r="G10" s="2">
        <v>750000</v>
      </c>
      <c r="J10" s="1" t="s">
        <v>37</v>
      </c>
      <c r="K10" s="1">
        <v>25</v>
      </c>
      <c r="L10" s="2">
        <v>3500</v>
      </c>
      <c r="M10" s="1">
        <v>1</v>
      </c>
      <c r="N10" s="2">
        <f>K10*L10*M10</f>
        <v>87500</v>
      </c>
    </row>
    <row r="11" spans="1:14" x14ac:dyDescent="0.2">
      <c r="A11" s="1" t="s">
        <v>0</v>
      </c>
      <c r="G11" s="9">
        <f>G9+G10</f>
        <v>2250000</v>
      </c>
      <c r="J11" s="1" t="s">
        <v>38</v>
      </c>
      <c r="K11" s="1">
        <v>35</v>
      </c>
      <c r="L11" s="2">
        <v>2460</v>
      </c>
      <c r="M11" s="1">
        <v>2</v>
      </c>
      <c r="N11" s="2">
        <f>K11*L11*M11</f>
        <v>172200</v>
      </c>
    </row>
    <row r="12" spans="1:14" x14ac:dyDescent="0.2">
      <c r="A12" s="1" t="s">
        <v>19</v>
      </c>
    </row>
    <row r="13" spans="1:14" x14ac:dyDescent="0.2">
      <c r="B13" s="1" t="s">
        <v>12</v>
      </c>
      <c r="J13" s="25" t="s">
        <v>48</v>
      </c>
      <c r="K13" s="25"/>
      <c r="L13" s="25"/>
      <c r="M13" s="25"/>
      <c r="N13" s="25"/>
    </row>
    <row r="14" spans="1:14" x14ac:dyDescent="0.2">
      <c r="C14" s="1" t="s">
        <v>9</v>
      </c>
      <c r="G14" s="2">
        <f>N9</f>
        <v>1008000</v>
      </c>
      <c r="K14" s="1" t="s">
        <v>53</v>
      </c>
      <c r="L14" s="1" t="s">
        <v>45</v>
      </c>
      <c r="M14" s="1" t="s">
        <v>52</v>
      </c>
      <c r="N14" s="1" t="s">
        <v>42</v>
      </c>
    </row>
    <row r="15" spans="1:14" x14ac:dyDescent="0.2">
      <c r="C15" s="1" t="s">
        <v>10</v>
      </c>
      <c r="G15" s="2">
        <f>N10</f>
        <v>87500</v>
      </c>
      <c r="J15" s="1" t="s">
        <v>49</v>
      </c>
      <c r="K15" s="1">
        <v>5</v>
      </c>
      <c r="L15" s="1">
        <v>7</v>
      </c>
      <c r="M15" s="1">
        <v>1000</v>
      </c>
      <c r="N15" s="1">
        <f>K15*L15*M15</f>
        <v>35000</v>
      </c>
    </row>
    <row r="16" spans="1:14" x14ac:dyDescent="0.2">
      <c r="C16" s="1" t="s">
        <v>11</v>
      </c>
      <c r="G16" s="2">
        <f>N11</f>
        <v>172200</v>
      </c>
      <c r="J16" s="1" t="s">
        <v>50</v>
      </c>
      <c r="K16" s="1">
        <f>K9*M9+K10*M10+K11*M11</f>
        <v>375</v>
      </c>
      <c r="L16" s="1" t="s">
        <v>41</v>
      </c>
      <c r="M16" s="1">
        <v>350</v>
      </c>
      <c r="N16" s="1">
        <f>K16*M16</f>
        <v>131250</v>
      </c>
    </row>
    <row r="17" spans="1:14" x14ac:dyDescent="0.2">
      <c r="C17" s="1" t="s">
        <v>43</v>
      </c>
      <c r="G17" s="2">
        <f>SUM(G14:G16)*0.15</f>
        <v>190155</v>
      </c>
      <c r="J17" s="1" t="s">
        <v>51</v>
      </c>
      <c r="K17" s="1">
        <f>K16</f>
        <v>375</v>
      </c>
      <c r="L17" s="1" t="s">
        <v>41</v>
      </c>
      <c r="M17" s="1">
        <v>100</v>
      </c>
      <c r="N17" s="1">
        <f>K17*M17</f>
        <v>37500</v>
      </c>
    </row>
    <row r="18" spans="1:14" x14ac:dyDescent="0.2">
      <c r="B18" s="1" t="s">
        <v>13</v>
      </c>
    </row>
    <row r="19" spans="1:14" x14ac:dyDescent="0.2">
      <c r="C19" s="1" t="s">
        <v>14</v>
      </c>
      <c r="G19" s="2">
        <v>30000</v>
      </c>
    </row>
    <row r="20" spans="1:14" x14ac:dyDescent="0.2">
      <c r="C20" s="1" t="s">
        <v>15</v>
      </c>
      <c r="G20" s="2">
        <v>20000</v>
      </c>
    </row>
    <row r="21" spans="1:14" x14ac:dyDescent="0.2">
      <c r="C21" s="1" t="s">
        <v>47</v>
      </c>
      <c r="G21" s="2">
        <v>0</v>
      </c>
    </row>
    <row r="22" spans="1:14" x14ac:dyDescent="0.2">
      <c r="C22" s="1" t="s">
        <v>16</v>
      </c>
      <c r="G22" s="2">
        <f>SUM(N15:N17)</f>
        <v>203750</v>
      </c>
    </row>
    <row r="23" spans="1:14" x14ac:dyDescent="0.2">
      <c r="B23" s="1" t="s">
        <v>17</v>
      </c>
    </row>
    <row r="24" spans="1:14" x14ac:dyDescent="0.2">
      <c r="C24" s="1" t="s">
        <v>18</v>
      </c>
      <c r="G24" s="2">
        <v>10000</v>
      </c>
    </row>
    <row r="25" spans="1:14" x14ac:dyDescent="0.2">
      <c r="A25" s="1" t="s">
        <v>21</v>
      </c>
      <c r="G25" s="9">
        <f>SUM(G14:G24)</f>
        <v>1721605</v>
      </c>
    </row>
    <row r="26" spans="1:14" x14ac:dyDescent="0.2">
      <c r="A26" s="1" t="s">
        <v>1</v>
      </c>
      <c r="G26" s="2">
        <f>G11-G25</f>
        <v>528395</v>
      </c>
      <c r="H26" s="3"/>
      <c r="I26" s="3"/>
    </row>
    <row r="27" spans="1:14" x14ac:dyDescent="0.2">
      <c r="A27" s="1" t="s">
        <v>2</v>
      </c>
    </row>
    <row r="28" spans="1:14" x14ac:dyDescent="0.2">
      <c r="B28" s="1" t="s">
        <v>44</v>
      </c>
    </row>
    <row r="29" spans="1:14" x14ac:dyDescent="0.2">
      <c r="C29" s="1" t="s">
        <v>5</v>
      </c>
      <c r="G29" s="2">
        <v>80000</v>
      </c>
    </row>
    <row r="30" spans="1:14" x14ac:dyDescent="0.2">
      <c r="C30" s="1" t="s">
        <v>6</v>
      </c>
      <c r="G30" s="2">
        <f>G29*0.15</f>
        <v>12000</v>
      </c>
    </row>
    <row r="31" spans="1:14" x14ac:dyDescent="0.2">
      <c r="C31" s="1" t="s">
        <v>7</v>
      </c>
      <c r="G31" s="2">
        <v>2000</v>
      </c>
    </row>
    <row r="32" spans="1:14" x14ac:dyDescent="0.2">
      <c r="C32" s="1" t="s">
        <v>8</v>
      </c>
      <c r="G32" s="2">
        <f>5*20*90</f>
        <v>9000</v>
      </c>
    </row>
    <row r="33" spans="1:7" x14ac:dyDescent="0.2">
      <c r="B33" s="1" t="s">
        <v>3</v>
      </c>
    </row>
    <row r="34" spans="1:7" x14ac:dyDescent="0.2">
      <c r="C34" s="1" t="s">
        <v>54</v>
      </c>
      <c r="G34" s="2">
        <f>G11*0.01</f>
        <v>22500</v>
      </c>
    </row>
    <row r="35" spans="1:7" x14ac:dyDescent="0.2">
      <c r="C35" s="1" t="s">
        <v>4</v>
      </c>
      <c r="G35" s="2">
        <v>10000</v>
      </c>
    </row>
    <row r="36" spans="1:7" x14ac:dyDescent="0.2">
      <c r="B36" s="1" t="s">
        <v>22</v>
      </c>
    </row>
    <row r="37" spans="1:7" x14ac:dyDescent="0.2">
      <c r="C37" s="1" t="s">
        <v>23</v>
      </c>
      <c r="G37" s="2">
        <v>50000</v>
      </c>
    </row>
    <row r="38" spans="1:7" x14ac:dyDescent="0.2">
      <c r="C38" s="1" t="s">
        <v>24</v>
      </c>
      <c r="G38" s="2">
        <v>20000</v>
      </c>
    </row>
    <row r="39" spans="1:7" x14ac:dyDescent="0.2">
      <c r="A39" s="1" t="s">
        <v>25</v>
      </c>
      <c r="G39" s="9">
        <f>SUM(G29:G38)</f>
        <v>205500</v>
      </c>
    </row>
    <row r="40" spans="1:7" ht="12.75" thickBot="1" x14ac:dyDescent="0.25">
      <c r="A40" s="1" t="s">
        <v>26</v>
      </c>
      <c r="G40" s="10">
        <f>G26-G39</f>
        <v>322895</v>
      </c>
    </row>
    <row r="41" spans="1:7" ht="12.75" thickTop="1" x14ac:dyDescent="0.2"/>
  </sheetData>
  <mergeCells count="3">
    <mergeCell ref="J6:N6"/>
    <mergeCell ref="A6:H6"/>
    <mergeCell ref="J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Forecasting</vt:lpstr>
      <vt:lpstr>Sensitivity</vt:lpstr>
      <vt:lpstr>Solver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Yuan</dc:creator>
  <cp:lastModifiedBy>William Yuan</cp:lastModifiedBy>
  <dcterms:created xsi:type="dcterms:W3CDTF">2023-01-31T01:23:32Z</dcterms:created>
  <dcterms:modified xsi:type="dcterms:W3CDTF">2023-02-01T04:16:46Z</dcterms:modified>
</cp:coreProperties>
</file>