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64" activeTab="5"/>
  </bookViews>
  <sheets>
    <sheet name="分压电阻设定" sheetId="1" r:id="rId1"/>
    <sheet name="放大倍数中间值设定" sheetId="2" r:id="rId2"/>
    <sheet name="温度调整区域设定" sheetId="3" r:id="rId3"/>
    <sheet name="温度校准范围设定" sheetId="4" r:id="rId4"/>
    <sheet name="参数结果一览表" sheetId="5" r:id="rId5"/>
    <sheet name="Sheet1" sheetId="6" r:id="rId6"/>
  </sheets>
  <calcPr calcId="152511"/>
  <fileRecoveryPr repairLoad="1"/>
</workbook>
</file>

<file path=xl/calcChain.xml><?xml version="1.0" encoding="utf-8"?>
<calcChain xmlns="http://schemas.openxmlformats.org/spreadsheetml/2006/main">
  <c r="D5" i="6" l="1"/>
  <c r="D6" i="6"/>
  <c r="D4" i="6"/>
  <c r="I25" i="6"/>
  <c r="B63" i="2"/>
  <c r="B9" i="2" l="1"/>
  <c r="B8" i="2"/>
  <c r="G50" i="2" s="1"/>
  <c r="B30" i="3" l="1"/>
  <c r="B31" i="3"/>
  <c r="B29" i="3"/>
  <c r="C27" i="5" l="1"/>
  <c r="C17" i="5"/>
  <c r="F4" i="4"/>
  <c r="F5" i="4"/>
  <c r="B32" i="3"/>
  <c r="B18" i="3"/>
  <c r="C57" i="2"/>
  <c r="D18" i="4" s="1"/>
  <c r="B19" i="3"/>
  <c r="D40" i="4"/>
  <c r="D39" i="4"/>
  <c r="D38" i="4"/>
  <c r="B14" i="4" l="1"/>
  <c r="B59" i="2"/>
  <c r="C4" i="4" s="1"/>
  <c r="D14" i="4"/>
  <c r="C14" i="4"/>
  <c r="B35" i="3"/>
  <c r="B34" i="3" l="1"/>
  <c r="B60" i="2" l="1"/>
  <c r="C5" i="4" s="1"/>
  <c r="B12" i="4" s="1"/>
  <c r="B54" i="2"/>
  <c r="C54" i="2" s="1"/>
  <c r="B53" i="2"/>
  <c r="C53" i="2" s="1"/>
  <c r="B17" i="3" s="1"/>
  <c r="B21" i="3" s="1"/>
  <c r="C19" i="5" s="1"/>
  <c r="B52" i="2"/>
  <c r="C52" i="2" s="1"/>
  <c r="B51" i="2"/>
  <c r="C51" i="2" s="1"/>
  <c r="B16" i="3" s="1"/>
  <c r="B50" i="2"/>
  <c r="C50" i="2" s="1"/>
  <c r="A15" i="2"/>
  <c r="B15" i="2" s="1"/>
  <c r="B14" i="2"/>
  <c r="A16" i="2" l="1"/>
  <c r="B16" i="2" s="1"/>
  <c r="B23" i="3"/>
  <c r="B22" i="3" s="1"/>
  <c r="C20" i="5" s="1"/>
  <c r="D12" i="4"/>
  <c r="D17" i="4" s="1"/>
  <c r="C12" i="4"/>
  <c r="D19" i="4" s="1"/>
  <c r="A17" i="2" l="1"/>
  <c r="C22" i="4"/>
  <c r="C26" i="4" s="1"/>
  <c r="B24" i="3"/>
  <c r="C18" i="5" s="1"/>
  <c r="A18" i="2" l="1"/>
  <c r="B17" i="2"/>
  <c r="C27" i="4"/>
  <c r="C28" i="5" s="1"/>
  <c r="C29" i="5"/>
  <c r="A19" i="2" l="1"/>
  <c r="B18" i="2"/>
  <c r="B10" i="2"/>
  <c r="B19" i="2" l="1"/>
  <c r="A20" i="2"/>
  <c r="B23" i="1"/>
  <c r="D2" i="5"/>
  <c r="B20" i="2" l="1"/>
  <c r="C20" i="2" s="1"/>
  <c r="A21" i="2"/>
  <c r="B2" i="2"/>
  <c r="C14" i="2"/>
  <c r="C16" i="2"/>
  <c r="C15" i="2"/>
  <c r="C17" i="2"/>
  <c r="C18" i="2"/>
  <c r="C19" i="2"/>
  <c r="A22" i="2" l="1"/>
  <c r="B21" i="2"/>
  <c r="C21" i="2" s="1"/>
  <c r="A23" i="2" l="1"/>
  <c r="B22" i="2"/>
  <c r="C22" i="2" s="1"/>
  <c r="A24" i="2" l="1"/>
  <c r="B23" i="2"/>
  <c r="C23" i="2" s="1"/>
  <c r="B24" i="2" l="1"/>
  <c r="C24" i="2" s="1"/>
  <c r="A25" i="2"/>
  <c r="B25" i="2" l="1"/>
  <c r="C25" i="2" s="1"/>
  <c r="A26" i="2"/>
  <c r="B26" i="2" l="1"/>
  <c r="C26" i="2" s="1"/>
  <c r="A27" i="2"/>
  <c r="B27" i="2" l="1"/>
  <c r="C27" i="2" s="1"/>
  <c r="A28" i="2"/>
  <c r="B28" i="2" l="1"/>
  <c r="C28" i="2" s="1"/>
  <c r="A29" i="2"/>
  <c r="A30" i="2" l="1"/>
  <c r="B29" i="2"/>
  <c r="C29" i="2" s="1"/>
  <c r="B30" i="2" l="1"/>
  <c r="C30" i="2" s="1"/>
  <c r="A31" i="2"/>
  <c r="B31" i="2" l="1"/>
  <c r="C31" i="2" s="1"/>
  <c r="A32" i="2"/>
  <c r="A33" i="2" l="1"/>
  <c r="B32" i="2"/>
  <c r="C32" i="2" s="1"/>
  <c r="B33" i="2" l="1"/>
  <c r="C33" i="2" s="1"/>
  <c r="A34" i="2"/>
  <c r="A35" i="2" l="1"/>
  <c r="B34" i="2"/>
  <c r="C34" i="2" s="1"/>
  <c r="B35" i="2" l="1"/>
  <c r="C35" i="2" s="1"/>
  <c r="A36" i="2"/>
  <c r="A37" i="2" l="1"/>
  <c r="B36" i="2"/>
  <c r="C36" i="2" s="1"/>
  <c r="A38" i="2" l="1"/>
  <c r="B37" i="2"/>
  <c r="C37" i="2" s="1"/>
  <c r="A39" i="2" l="1"/>
  <c r="B38" i="2"/>
  <c r="C38" i="2" s="1"/>
  <c r="A40" i="2" l="1"/>
  <c r="B39" i="2"/>
  <c r="C39" i="2" s="1"/>
  <c r="A41" i="2" l="1"/>
  <c r="B40" i="2"/>
  <c r="C40" i="2" s="1"/>
  <c r="B41" i="2" l="1"/>
  <c r="C41" i="2" s="1"/>
  <c r="A42" i="2"/>
  <c r="B42" i="2" s="1"/>
  <c r="C42" i="2" s="1"/>
</calcChain>
</file>

<file path=xl/sharedStrings.xml><?xml version="1.0" encoding="utf-8"?>
<sst xmlns="http://schemas.openxmlformats.org/spreadsheetml/2006/main" count="121" uniqueCount="95">
  <si>
    <t>电阻大小</t>
    <phoneticPr fontId="1" type="noConversion"/>
  </si>
  <si>
    <t>电流大小</t>
    <phoneticPr fontId="1" type="noConversion"/>
  </si>
  <si>
    <t>U+</t>
    <phoneticPr fontId="1" type="noConversion"/>
  </si>
  <si>
    <t>U-</t>
    <phoneticPr fontId="1" type="noConversion"/>
  </si>
  <si>
    <t>功率大小</t>
    <phoneticPr fontId="1" type="noConversion"/>
  </si>
  <si>
    <t>注意：内阻越小，抗干扰越强</t>
    <phoneticPr fontId="1" type="noConversion"/>
  </si>
  <si>
    <t>一般设置电阻流过电流为1mA左右</t>
    <phoneticPr fontId="1" type="noConversion"/>
  </si>
  <si>
    <t>根据，最高温度580和最低温度100，电源电压 确定放大倍数 根据放大倍数，最高温度480和最低温度200确定ADC模拟控温可调电压</t>
  </si>
  <si>
    <t>分压电阻：</t>
    <phoneticPr fontId="1" type="noConversion"/>
  </si>
  <si>
    <t>温度曲线公式：</t>
    <phoneticPr fontId="1" type="noConversion"/>
  </si>
  <si>
    <t>Y=KX+B</t>
    <phoneticPr fontId="1" type="noConversion"/>
  </si>
  <si>
    <t>K</t>
    <phoneticPr fontId="1" type="noConversion"/>
  </si>
  <si>
    <t>B</t>
    <phoneticPr fontId="1" type="noConversion"/>
  </si>
  <si>
    <t>B</t>
    <phoneticPr fontId="1" type="noConversion"/>
  </si>
  <si>
    <t>加入R1后，获得温度电压曲线公式</t>
    <phoneticPr fontId="1" type="noConversion"/>
  </si>
  <si>
    <t>这里采用计算法后整合成一次函数</t>
    <phoneticPr fontId="1" type="noConversion"/>
  </si>
  <si>
    <t>U+</t>
    <phoneticPr fontId="1" type="noConversion"/>
  </si>
  <si>
    <t>U-</t>
    <phoneticPr fontId="1" type="noConversion"/>
  </si>
  <si>
    <t>R1</t>
    <phoneticPr fontId="1" type="noConversion"/>
  </si>
  <si>
    <t>温度</t>
    <phoneticPr fontId="1" type="noConversion"/>
  </si>
  <si>
    <t>电阻</t>
    <phoneticPr fontId="1" type="noConversion"/>
  </si>
  <si>
    <t>电压</t>
    <phoneticPr fontId="1" type="noConversion"/>
  </si>
  <si>
    <t>Y=KX+B</t>
    <phoneticPr fontId="1" type="noConversion"/>
  </si>
  <si>
    <t>K</t>
    <phoneticPr fontId="1" type="noConversion"/>
  </si>
  <si>
    <t>放大倍数</t>
    <phoneticPr fontId="1" type="noConversion"/>
  </si>
  <si>
    <t>温度</t>
    <phoneticPr fontId="1" type="noConversion"/>
  </si>
  <si>
    <t>电压</t>
    <phoneticPr fontId="1" type="noConversion"/>
  </si>
  <si>
    <t>放大后电压</t>
    <phoneticPr fontId="1" type="noConversion"/>
  </si>
  <si>
    <t>4根据可调电压范围，获得可控电压调节参数</t>
    <phoneticPr fontId="1" type="noConversion"/>
  </si>
  <si>
    <t>先根据最小电压/R2 = 1mA获得R2</t>
    <phoneticPr fontId="1" type="noConversion"/>
  </si>
  <si>
    <t>Id</t>
    <phoneticPr fontId="1" type="noConversion"/>
  </si>
  <si>
    <t>Umax</t>
    <phoneticPr fontId="1" type="noConversion"/>
  </si>
  <si>
    <t>Umin</t>
    <phoneticPr fontId="1" type="noConversion"/>
  </si>
  <si>
    <t>22V(U+)</t>
    <phoneticPr fontId="1" type="noConversion"/>
  </si>
  <si>
    <t>N/GND(U-)</t>
    <phoneticPr fontId="1" type="noConversion"/>
  </si>
  <si>
    <t>W1</t>
    <phoneticPr fontId="1" type="noConversion"/>
  </si>
  <si>
    <t>R2</t>
    <phoneticPr fontId="1" type="noConversion"/>
  </si>
  <si>
    <t>R3</t>
    <phoneticPr fontId="1" type="noConversion"/>
  </si>
  <si>
    <t>R3//W1</t>
    <phoneticPr fontId="1" type="noConversion"/>
  </si>
  <si>
    <t>R1</t>
    <phoneticPr fontId="1" type="noConversion"/>
  </si>
  <si>
    <t>实际</t>
    <phoneticPr fontId="1" type="noConversion"/>
  </si>
  <si>
    <t>W1//R3</t>
    <phoneticPr fontId="1" type="noConversion"/>
  </si>
  <si>
    <t>调节电压</t>
    <phoneticPr fontId="1" type="noConversion"/>
  </si>
  <si>
    <t>MAX</t>
    <phoneticPr fontId="1" type="noConversion"/>
  </si>
  <si>
    <t>MIN</t>
    <phoneticPr fontId="1" type="noConversion"/>
  </si>
  <si>
    <t>当电位器最小时放大倍数</t>
    <phoneticPr fontId="1" type="noConversion"/>
  </si>
  <si>
    <t>Fmin：</t>
    <phoneticPr fontId="1" type="noConversion"/>
  </si>
  <si>
    <t>当电位器居中时放大倍数</t>
    <phoneticPr fontId="1" type="noConversion"/>
  </si>
  <si>
    <t>Fmid：</t>
    <phoneticPr fontId="1" type="noConversion"/>
  </si>
  <si>
    <t>当电位器最大时放大倍数</t>
    <phoneticPr fontId="1" type="noConversion"/>
  </si>
  <si>
    <t>Fmax:</t>
    <phoneticPr fontId="1" type="noConversion"/>
  </si>
  <si>
    <t>依据上面数据，R1选取原则为Fmid/（Fmid-Fmin+Fmax-Fmid）*W</t>
    <phoneticPr fontId="1" type="noConversion"/>
  </si>
  <si>
    <t>建议R2/W =</t>
    <phoneticPr fontId="1" type="noConversion"/>
  </si>
  <si>
    <t>已知电位器W1(单位Ω)：</t>
    <phoneticPr fontId="1" type="noConversion"/>
  </si>
  <si>
    <t>求R2：</t>
    <phoneticPr fontId="1" type="noConversion"/>
  </si>
  <si>
    <t>求R1：</t>
    <phoneticPr fontId="1" type="noConversion"/>
  </si>
  <si>
    <t>R1 =</t>
    <phoneticPr fontId="1" type="noConversion"/>
  </si>
  <si>
    <t>R2 =</t>
    <phoneticPr fontId="1" type="noConversion"/>
  </si>
  <si>
    <t>温度-ADC公式</t>
    <phoneticPr fontId="1" type="noConversion"/>
  </si>
  <si>
    <t>Y=KX+B</t>
    <phoneticPr fontId="1" type="noConversion"/>
  </si>
  <si>
    <t>温度-DC公式</t>
    <phoneticPr fontId="1" type="noConversion"/>
  </si>
  <si>
    <t>MIN下</t>
    <phoneticPr fontId="1" type="noConversion"/>
  </si>
  <si>
    <t>MAX下</t>
    <phoneticPr fontId="1" type="noConversion"/>
  </si>
  <si>
    <t>//这些数值代表从sheet出继承</t>
    <phoneticPr fontId="1" type="noConversion"/>
  </si>
  <si>
    <t>//这个颜色表示本表继承</t>
    <phoneticPr fontId="1" type="noConversion"/>
  </si>
  <si>
    <t>//这个电压不要超过运放输出的电压</t>
    <phoneticPr fontId="1" type="noConversion"/>
  </si>
  <si>
    <t>V</t>
    <phoneticPr fontId="1" type="noConversion"/>
  </si>
  <si>
    <t>经过调整，得到放大倍数</t>
    <phoneticPr fontId="1" type="noConversion"/>
  </si>
  <si>
    <t>合适，故</t>
    <phoneticPr fontId="1" type="noConversion"/>
  </si>
  <si>
    <t>未经过放大原始电压</t>
    <phoneticPr fontId="1" type="noConversion"/>
  </si>
  <si>
    <t>//（即最大放大倍数减去中间放大倍数）+（中间放大倍数-最小放大倍数）</t>
    <phoneticPr fontId="1" type="noConversion"/>
  </si>
  <si>
    <t>//没有如此精准的电阻，只能约等于</t>
    <phoneticPr fontId="1" type="noConversion"/>
  </si>
  <si>
    <t>最终结果：</t>
    <phoneticPr fontId="1" type="noConversion"/>
  </si>
  <si>
    <t>分压电阻</t>
    <phoneticPr fontId="1" type="noConversion"/>
  </si>
  <si>
    <t>第一步：</t>
    <phoneticPr fontId="1" type="noConversion"/>
  </si>
  <si>
    <t>第三步：</t>
    <phoneticPr fontId="1" type="noConversion"/>
  </si>
  <si>
    <t>第四步：</t>
    <phoneticPr fontId="1" type="noConversion"/>
  </si>
  <si>
    <t>确定R1</t>
    <phoneticPr fontId="1" type="noConversion"/>
  </si>
  <si>
    <t>电位器中点电压</t>
    <phoneticPr fontId="1" type="noConversion"/>
  </si>
  <si>
    <t>实际计算可选</t>
    <phoneticPr fontId="1" type="noConversion"/>
  </si>
  <si>
    <t>实际数值（可选）</t>
    <phoneticPr fontId="1" type="noConversion"/>
  </si>
  <si>
    <t>//该公式从B3发热芯温度记录表得到</t>
    <phoneticPr fontId="1" type="noConversion"/>
  </si>
  <si>
    <t>并联电阻阻值</t>
  </si>
  <si>
    <t>并联后的阻值</t>
    <phoneticPr fontId="1" type="noConversion"/>
  </si>
  <si>
    <t>并联阻值</t>
    <phoneticPr fontId="1" type="noConversion"/>
  </si>
  <si>
    <t>//从图表中获得该一次函数</t>
    <phoneticPr fontId="1" type="noConversion"/>
  </si>
  <si>
    <t>Y=KX+B</t>
    <phoneticPr fontId="1" type="noConversion"/>
  </si>
  <si>
    <t>y = 3.8001x - 202.12</t>
    <phoneticPr fontId="1" type="noConversion"/>
  </si>
  <si>
    <t xml:space="preserve">       </t>
    <phoneticPr fontId="1" type="noConversion"/>
  </si>
  <si>
    <t xml:space="preserve"> </t>
    <phoneticPr fontId="1" type="noConversion"/>
  </si>
  <si>
    <t>X电压</t>
    <phoneticPr fontId="1" type="noConversion"/>
  </si>
  <si>
    <t>Y温度</t>
    <phoneticPr fontId="1" type="noConversion"/>
  </si>
  <si>
    <t>温度-放大后电压公式</t>
    <phoneticPr fontId="1" type="noConversion"/>
  </si>
  <si>
    <t>真正代入得 Y=K*R1/(vcc/X-1)+B，这个不是一次函数。所以</t>
    <phoneticPr fontId="1" type="noConversion"/>
  </si>
  <si>
    <t>adc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</si>
</sst>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00_);[Red]\(0.000000\)"/>
    <numFmt numFmtId="177" formatCode="0.0000000000_);[Red]\(0.0000000000\)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color theme="0" tint="-0.499984740745262"/>
      <name val="宋体"/>
      <family val="2"/>
      <scheme val="minor"/>
    </font>
    <font>
      <sz val="11"/>
      <color theme="3" tint="0.39997558519241921"/>
      <name val="宋体"/>
      <family val="2"/>
      <scheme val="minor"/>
    </font>
    <font>
      <sz val="11"/>
      <color theme="4" tint="-0.249977111117893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176" fontId="0" fillId="0" borderId="0" xfId="0" applyNumberFormat="1"/>
    <xf numFmtId="176" fontId="2" fillId="0" borderId="0" xfId="0" applyNumberFormat="1" applyFont="1"/>
    <xf numFmtId="49" fontId="0" fillId="0" borderId="0" xfId="0" applyNumberFormat="1"/>
    <xf numFmtId="13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3" borderId="0" xfId="0" applyFill="1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Fill="1" applyBorder="1"/>
    <xf numFmtId="0" fontId="0" fillId="0" borderId="0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76" fontId="0" fillId="3" borderId="0" xfId="0" applyNumberFormat="1" applyFill="1"/>
    <xf numFmtId="0" fontId="0" fillId="4" borderId="0" xfId="0" applyFill="1"/>
    <xf numFmtId="0" fontId="4" fillId="0" borderId="0" xfId="0" applyFont="1" applyFill="1"/>
    <xf numFmtId="0" fontId="4" fillId="0" borderId="0" xfId="0" applyFont="1"/>
    <xf numFmtId="0" fontId="6" fillId="0" borderId="0" xfId="0" applyFont="1" applyFill="1"/>
    <xf numFmtId="0" fontId="5" fillId="0" borderId="0" xfId="0" applyFont="1"/>
    <xf numFmtId="0" fontId="5" fillId="0" borderId="0" xfId="0" applyFont="1" applyFill="1" applyBorder="1"/>
    <xf numFmtId="0" fontId="5" fillId="0" borderId="5" xfId="0" applyFont="1" applyFill="1" applyBorder="1"/>
    <xf numFmtId="0" fontId="0" fillId="0" borderId="4" xfId="0" applyBorder="1" applyAlignment="1">
      <alignment horizontal="right"/>
    </xf>
    <xf numFmtId="0" fontId="4" fillId="0" borderId="4" xfId="0" applyFont="1" applyBorder="1"/>
    <xf numFmtId="0" fontId="3" fillId="2" borderId="0" xfId="0" applyFont="1" applyFill="1" applyBorder="1"/>
    <xf numFmtId="0" fontId="4" fillId="2" borderId="0" xfId="0" applyFont="1" applyFill="1"/>
    <xf numFmtId="0" fontId="0" fillId="0" borderId="9" xfId="0" applyBorder="1" applyAlignment="1">
      <alignment horizontal="right"/>
    </xf>
    <xf numFmtId="0" fontId="0" fillId="0" borderId="9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4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0" xfId="0" applyFill="1" applyBorder="1" applyAlignment="1">
      <alignment horizontal="center"/>
    </xf>
    <xf numFmtId="177" fontId="0" fillId="2" borderId="0" xfId="0" applyNumberFormat="1" applyFill="1"/>
    <xf numFmtId="0" fontId="0" fillId="0" borderId="0" xfId="0" applyFill="1" applyAlignment="1">
      <alignment horizontal="center" wrapText="1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2"/>
          <c:w val="0.86804418197725286"/>
          <c:h val="0.71574876057159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7789337283295628E-2"/>
                  <c:y val="7.526888675207225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放大倍数中间值设定!$C$14:$C$42</c:f>
              <c:numCache>
                <c:formatCode>General</c:formatCode>
                <c:ptCount val="29"/>
                <c:pt idx="0">
                  <c:v>0.13924997175261589</c:v>
                </c:pt>
                <c:pt idx="1">
                  <c:v>0.14217457200859407</c:v>
                </c:pt>
                <c:pt idx="2">
                  <c:v>0.14509376507978766</c:v>
                </c:pt>
                <c:pt idx="3">
                  <c:v>0.14800756594806169</c:v>
                </c:pt>
                <c:pt idx="4">
                  <c:v>0.15091598953998445</c:v>
                </c:pt>
                <c:pt idx="5">
                  <c:v>0.15381905072708266</c:v>
                </c:pt>
                <c:pt idx="6">
                  <c:v>0.15671676432609466</c:v>
                </c:pt>
                <c:pt idx="7">
                  <c:v>0.1596091450992228</c:v>
                </c:pt>
                <c:pt idx="8">
                  <c:v>0.16249620775438384</c:v>
                </c:pt>
                <c:pt idx="9">
                  <c:v>0.16537796694545837</c:v>
                </c:pt>
                <c:pt idx="10">
                  <c:v>0.16825443727253875</c:v>
                </c:pt>
                <c:pt idx="11">
                  <c:v>0.1711256332821757</c:v>
                </c:pt>
                <c:pt idx="12">
                  <c:v>0.1739915694676234</c:v>
                </c:pt>
                <c:pt idx="13">
                  <c:v>0.1768522602690836</c:v>
                </c:pt>
                <c:pt idx="14">
                  <c:v>0.1797077200739477</c:v>
                </c:pt>
                <c:pt idx="15">
                  <c:v>0.18255796321703846</c:v>
                </c:pt>
                <c:pt idx="16">
                  <c:v>0.18540300398084958</c:v>
                </c:pt>
                <c:pt idx="17">
                  <c:v>0.18824285659578427</c:v>
                </c:pt>
                <c:pt idx="18">
                  <c:v>0.19107753524039256</c:v>
                </c:pt>
                <c:pt idx="19">
                  <c:v>0.19390705404160744</c:v>
                </c:pt>
                <c:pt idx="20">
                  <c:v>0.19673142707497915</c:v>
                </c:pt>
                <c:pt idx="21">
                  <c:v>0.19955066836490887</c:v>
                </c:pt>
                <c:pt idx="22">
                  <c:v>0.20236479188488093</c:v>
                </c:pt>
                <c:pt idx="23">
                  <c:v>0.20517381155769324</c:v>
                </c:pt>
                <c:pt idx="24">
                  <c:v>0.20797774125568741</c:v>
                </c:pt>
                <c:pt idx="25">
                  <c:v>0.21077659480097685</c:v>
                </c:pt>
                <c:pt idx="26">
                  <c:v>0.21357038596567385</c:v>
                </c:pt>
                <c:pt idx="27">
                  <c:v>0.21635912847211555</c:v>
                </c:pt>
                <c:pt idx="28">
                  <c:v>0.2191428359930887</c:v>
                </c:pt>
              </c:numCache>
            </c:numRef>
          </c:xVal>
          <c:yVal>
            <c:numRef>
              <c:f>放大倍数中间值设定!$A$14:$A$42</c:f>
              <c:numCache>
                <c:formatCode>General</c:formatCode>
                <c:ptCount val="29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646344"/>
        <c:axId val="486659280"/>
      </c:scatterChart>
      <c:valAx>
        <c:axId val="486646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659280"/>
        <c:crosses val="autoZero"/>
        <c:crossBetween val="midCat"/>
      </c:valAx>
      <c:valAx>
        <c:axId val="48665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646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Sheet1!$D$4:$D$6</c:f>
              <c:numCache>
                <c:formatCode>General</c:formatCode>
                <c:ptCount val="3"/>
                <c:pt idx="0">
                  <c:v>1133.3333333333335</c:v>
                </c:pt>
                <c:pt idx="1">
                  <c:v>1400</c:v>
                </c:pt>
                <c:pt idx="2">
                  <c:v>1600</c:v>
                </c:pt>
              </c:numCache>
            </c:numRef>
          </c:xVal>
          <c:yVal>
            <c:numRef>
              <c:f>Sheet1!$C$4:$C$6</c:f>
              <c:numCache>
                <c:formatCode>General</c:formatCode>
                <c:ptCount val="3"/>
                <c:pt idx="0">
                  <c:v>200</c:v>
                </c:pt>
                <c:pt idx="1">
                  <c:v>295</c:v>
                </c:pt>
                <c:pt idx="2">
                  <c:v>373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658888"/>
        <c:axId val="486656928"/>
      </c:scatterChart>
      <c:valAx>
        <c:axId val="486658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656928"/>
        <c:crosses val="autoZero"/>
        <c:crossBetween val="midCat"/>
      </c:valAx>
      <c:valAx>
        <c:axId val="4866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658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10</xdr:row>
      <xdr:rowOff>152400</xdr:rowOff>
    </xdr:from>
    <xdr:to>
      <xdr:col>4</xdr:col>
      <xdr:colOff>32337</xdr:colOff>
      <xdr:row>23</xdr:row>
      <xdr:rowOff>143190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524000"/>
          <a:ext cx="1194387" cy="22196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1</xdr:row>
      <xdr:rowOff>123825</xdr:rowOff>
    </xdr:from>
    <xdr:to>
      <xdr:col>10</xdr:col>
      <xdr:colOff>413337</xdr:colOff>
      <xdr:row>14</xdr:row>
      <xdr:rowOff>114615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2375" y="295275"/>
          <a:ext cx="1194387" cy="2219640"/>
        </a:xfrm>
        <a:prstGeom prst="rect">
          <a:avLst/>
        </a:prstGeom>
      </xdr:spPr>
    </xdr:pic>
    <xdr:clientData/>
  </xdr:twoCellAnchor>
  <xdr:twoCellAnchor>
    <xdr:from>
      <xdr:col>3</xdr:col>
      <xdr:colOff>962025</xdr:colOff>
      <xdr:row>14</xdr:row>
      <xdr:rowOff>161925</xdr:rowOff>
    </xdr:from>
    <xdr:to>
      <xdr:col>10</xdr:col>
      <xdr:colOff>38100</xdr:colOff>
      <xdr:row>30</xdr:row>
      <xdr:rowOff>161925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2</xdr:row>
      <xdr:rowOff>142875</xdr:rowOff>
    </xdr:from>
    <xdr:to>
      <xdr:col>4</xdr:col>
      <xdr:colOff>65942</xdr:colOff>
      <xdr:row>12</xdr:row>
      <xdr:rowOff>38326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485775"/>
          <a:ext cx="3275867" cy="16099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5</xdr:row>
      <xdr:rowOff>36886</xdr:rowOff>
    </xdr:from>
    <xdr:to>
      <xdr:col>14</xdr:col>
      <xdr:colOff>67802</xdr:colOff>
      <xdr:row>17</xdr:row>
      <xdr:rowOff>114751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38900" y="894136"/>
          <a:ext cx="5325602" cy="21352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152400</xdr:colOff>
      <xdr:row>0</xdr:row>
      <xdr:rowOff>0</xdr:rowOff>
    </xdr:from>
    <xdr:to>
      <xdr:col>6</xdr:col>
      <xdr:colOff>660987</xdr:colOff>
      <xdr:row>12</xdr:row>
      <xdr:rowOff>162240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2425" y="0"/>
          <a:ext cx="1194387" cy="2219640"/>
        </a:xfrm>
        <a:prstGeom prst="rect">
          <a:avLst/>
        </a:prstGeom>
      </xdr:spPr>
    </xdr:pic>
    <xdr:clientData/>
  </xdr:twoCellAnchor>
  <xdr:twoCellAnchor editAs="oneCell">
    <xdr:from>
      <xdr:col>4</xdr:col>
      <xdr:colOff>314325</xdr:colOff>
      <xdr:row>13</xdr:row>
      <xdr:rowOff>114300</xdr:rowOff>
    </xdr:from>
    <xdr:to>
      <xdr:col>9</xdr:col>
      <xdr:colOff>161192</xdr:colOff>
      <xdr:row>23</xdr:row>
      <xdr:rowOff>9751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38550" y="2343150"/>
          <a:ext cx="3275867" cy="1609951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24</xdr:row>
      <xdr:rowOff>95250</xdr:rowOff>
    </xdr:from>
    <xdr:to>
      <xdr:col>12</xdr:col>
      <xdr:colOff>29702</xdr:colOff>
      <xdr:row>37</xdr:row>
      <xdr:rowOff>1665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14725" y="4210050"/>
          <a:ext cx="5325602" cy="213526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5</xdr:row>
      <xdr:rowOff>71437</xdr:rowOff>
    </xdr:from>
    <xdr:to>
      <xdr:col>12</xdr:col>
      <xdr:colOff>28575</xdr:colOff>
      <xdr:row>21</xdr:row>
      <xdr:rowOff>71437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opLeftCell="A10" workbookViewId="0">
      <selection activeCell="C16" sqref="A9:C16"/>
    </sheetView>
  </sheetViews>
  <sheetFormatPr defaultRowHeight="13.5" x14ac:dyDescent="0.15"/>
  <cols>
    <col min="1" max="1" width="13.875" style="1" bestFit="1" customWidth="1"/>
    <col min="2" max="2" width="20.5" style="1" bestFit="1" customWidth="1"/>
    <col min="3" max="3" width="10.5" style="1" bestFit="1" customWidth="1"/>
    <col min="4" max="5" width="9" style="1"/>
    <col min="6" max="6" width="10.5" style="1" bestFit="1" customWidth="1"/>
    <col min="7" max="7" width="9" style="1"/>
    <col min="8" max="8" width="10.5" style="1" bestFit="1" customWidth="1"/>
    <col min="9" max="16384" width="9" style="1"/>
  </cols>
  <sheetData>
    <row r="1" spans="1:2" x14ac:dyDescent="0.15">
      <c r="A1" s="1" t="s">
        <v>77</v>
      </c>
    </row>
    <row r="3" spans="1:2" x14ac:dyDescent="0.15">
      <c r="A3" s="3"/>
      <c r="B3" s="4"/>
    </row>
    <row r="4" spans="1:2" x14ac:dyDescent="0.15">
      <c r="A4" s="3"/>
      <c r="B4" s="4"/>
    </row>
    <row r="5" spans="1:2" x14ac:dyDescent="0.15">
      <c r="A5" s="3"/>
      <c r="B5" s="4"/>
    </row>
    <row r="6" spans="1:2" x14ac:dyDescent="0.15">
      <c r="A6" s="3"/>
      <c r="B6" s="4"/>
    </row>
    <row r="7" spans="1:2" x14ac:dyDescent="0.15">
      <c r="A7" s="3"/>
      <c r="B7" s="4"/>
    </row>
    <row r="8" spans="1:2" x14ac:dyDescent="0.15">
      <c r="A8" s="3"/>
      <c r="B8" s="4"/>
    </row>
    <row r="9" spans="1:2" x14ac:dyDescent="0.15">
      <c r="A9" s="3"/>
      <c r="B9" s="4"/>
    </row>
    <row r="14" spans="1:2" x14ac:dyDescent="0.15">
      <c r="A14" s="2"/>
    </row>
    <row r="15" spans="1:2" x14ac:dyDescent="0.15">
      <c r="A15" s="2"/>
    </row>
    <row r="19" spans="1:2" x14ac:dyDescent="0.15">
      <c r="A19" s="1" t="s">
        <v>2</v>
      </c>
      <c r="B19" s="23">
        <v>3.3</v>
      </c>
    </row>
    <row r="20" spans="1:2" x14ac:dyDescent="0.15">
      <c r="A20" s="1" t="s">
        <v>3</v>
      </c>
      <c r="B20" s="23">
        <v>0</v>
      </c>
    </row>
    <row r="21" spans="1:2" x14ac:dyDescent="0.15">
      <c r="A21" s="1" t="s">
        <v>1</v>
      </c>
      <c r="B21" s="23">
        <v>1E-3</v>
      </c>
    </row>
    <row r="22" spans="1:2" x14ac:dyDescent="0.15">
      <c r="A22" s="2" t="s">
        <v>0</v>
      </c>
      <c r="B22" s="46">
        <v>2400</v>
      </c>
    </row>
    <row r="23" spans="1:2" x14ac:dyDescent="0.15">
      <c r="A23" s="2" t="s">
        <v>4</v>
      </c>
      <c r="B23" s="1">
        <f>B21*B21*B22</f>
        <v>2.3999999999999998E-3</v>
      </c>
    </row>
    <row r="26" spans="1:2" x14ac:dyDescent="0.15">
      <c r="A26" s="1" t="s">
        <v>5</v>
      </c>
    </row>
    <row r="27" spans="1:2" x14ac:dyDescent="0.15">
      <c r="A27" s="1" t="s">
        <v>6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A40" zoomScale="115" zoomScaleNormal="115" workbookViewId="0">
      <selection activeCell="F56" sqref="F56"/>
    </sheetView>
  </sheetViews>
  <sheetFormatPr defaultRowHeight="13.5" x14ac:dyDescent="0.15"/>
  <cols>
    <col min="1" max="1" width="15.625" customWidth="1"/>
    <col min="3" max="3" width="12.875" customWidth="1"/>
    <col min="4" max="4" width="18.125" customWidth="1"/>
  </cols>
  <sheetData>
    <row r="1" spans="1:6" x14ac:dyDescent="0.15">
      <c r="A1" t="s">
        <v>7</v>
      </c>
    </row>
    <row r="2" spans="1:6" x14ac:dyDescent="0.15">
      <c r="A2" s="5" t="s">
        <v>8</v>
      </c>
      <c r="B2" s="26">
        <f>B10</f>
        <v>2400</v>
      </c>
      <c r="C2" t="s">
        <v>64</v>
      </c>
    </row>
    <row r="3" spans="1:6" x14ac:dyDescent="0.15">
      <c r="A3" s="6" t="s">
        <v>9</v>
      </c>
      <c r="B3" s="7" t="s">
        <v>87</v>
      </c>
      <c r="C3" s="7"/>
      <c r="D3" s="7"/>
      <c r="E3" t="s">
        <v>10</v>
      </c>
      <c r="F3" t="s">
        <v>81</v>
      </c>
    </row>
    <row r="4" spans="1:6" x14ac:dyDescent="0.15">
      <c r="A4" s="7" t="s">
        <v>11</v>
      </c>
      <c r="B4" s="8">
        <v>4.3090999999999999</v>
      </c>
      <c r="C4" s="7"/>
      <c r="D4" s="7"/>
    </row>
    <row r="5" spans="1:6" x14ac:dyDescent="0.15">
      <c r="A5" s="7" t="s">
        <v>13</v>
      </c>
      <c r="B5" s="8">
        <v>-255.62</v>
      </c>
      <c r="C5" s="7"/>
      <c r="D5" s="7"/>
    </row>
    <row r="6" spans="1:6" x14ac:dyDescent="0.15">
      <c r="A6" s="7" t="s">
        <v>14</v>
      </c>
      <c r="B6" s="7"/>
      <c r="C6" s="7"/>
      <c r="D6" s="7" t="s">
        <v>93</v>
      </c>
    </row>
    <row r="7" spans="1:6" x14ac:dyDescent="0.15">
      <c r="A7" s="7" t="s">
        <v>15</v>
      </c>
      <c r="B7" s="7"/>
      <c r="C7" s="7"/>
      <c r="D7" s="7"/>
    </row>
    <row r="8" spans="1:6" x14ac:dyDescent="0.15">
      <c r="A8" s="7" t="s">
        <v>16</v>
      </c>
      <c r="B8" s="27">
        <f>TRANSPOSE(分压电阻设定!B19)</f>
        <v>3.3</v>
      </c>
      <c r="C8" s="7" t="s">
        <v>63</v>
      </c>
      <c r="D8" s="7"/>
    </row>
    <row r="9" spans="1:6" x14ac:dyDescent="0.15">
      <c r="A9" s="7" t="s">
        <v>17</v>
      </c>
      <c r="B9" s="27">
        <f>TRANSPOSE(分压电阻设定!B20)</f>
        <v>0</v>
      </c>
      <c r="C9" s="7"/>
      <c r="D9" s="7"/>
    </row>
    <row r="10" spans="1:6" x14ac:dyDescent="0.15">
      <c r="A10" s="7" t="s">
        <v>18</v>
      </c>
      <c r="B10" s="27">
        <f>TRANSPOSE(分压电阻设定!B22)</f>
        <v>2400</v>
      </c>
      <c r="C10" s="7"/>
      <c r="D10" s="7"/>
    </row>
    <row r="11" spans="1:6" x14ac:dyDescent="0.15">
      <c r="A11" s="7"/>
      <c r="B11" s="7"/>
      <c r="C11" s="7"/>
      <c r="D11" s="7"/>
    </row>
    <row r="12" spans="1:6" x14ac:dyDescent="0.15">
      <c r="A12" s="7"/>
      <c r="B12" s="7"/>
      <c r="C12" s="7"/>
      <c r="D12" s="7"/>
    </row>
    <row r="13" spans="1:6" x14ac:dyDescent="0.15">
      <c r="A13" s="7" t="s">
        <v>19</v>
      </c>
      <c r="B13" s="7" t="s">
        <v>20</v>
      </c>
      <c r="C13" s="7" t="s">
        <v>21</v>
      </c>
      <c r="D13" s="7"/>
    </row>
    <row r="14" spans="1:6" x14ac:dyDescent="0.15">
      <c r="A14" s="7">
        <v>200</v>
      </c>
      <c r="B14" s="25">
        <f>(A14-$B$5)/$B$4</f>
        <v>105.73437608781417</v>
      </c>
      <c r="C14" s="25">
        <f>B14/(B14+$B$10)*($B$8+$B$9)</f>
        <v>0.13924997175261589</v>
      </c>
      <c r="D14" s="7"/>
      <c r="E14" t="s">
        <v>90</v>
      </c>
    </row>
    <row r="15" spans="1:6" x14ac:dyDescent="0.15">
      <c r="A15" s="7">
        <f>A14+10</f>
        <v>210</v>
      </c>
      <c r="B15" s="25">
        <f t="shared" ref="B15:B42" si="0">(A15-$B$5)/$B$4</f>
        <v>108.05504629737068</v>
      </c>
      <c r="C15" s="25">
        <f t="shared" ref="C15:C42" si="1">B15/(B15+$B$10)*($B$8+$B$9)</f>
        <v>0.14217457200859407</v>
      </c>
      <c r="D15" s="7"/>
      <c r="E15" t="s">
        <v>91</v>
      </c>
    </row>
    <row r="16" spans="1:6" x14ac:dyDescent="0.15">
      <c r="A16" s="7">
        <f t="shared" ref="A16:A42" si="2">A15+10</f>
        <v>220</v>
      </c>
      <c r="B16" s="25">
        <f t="shared" si="0"/>
        <v>110.3757165069272</v>
      </c>
      <c r="C16" s="25">
        <f t="shared" si="1"/>
        <v>0.14509376507978766</v>
      </c>
      <c r="D16" s="7"/>
    </row>
    <row r="17" spans="1:4" x14ac:dyDescent="0.15">
      <c r="A17" s="7">
        <f t="shared" si="2"/>
        <v>230</v>
      </c>
      <c r="B17" s="25">
        <f t="shared" si="0"/>
        <v>112.69638671648373</v>
      </c>
      <c r="C17" s="25">
        <f t="shared" si="1"/>
        <v>0.14800756594806169</v>
      </c>
      <c r="D17" s="7"/>
    </row>
    <row r="18" spans="1:4" x14ac:dyDescent="0.15">
      <c r="A18" s="7">
        <f t="shared" si="2"/>
        <v>240</v>
      </c>
      <c r="B18" s="25">
        <f t="shared" si="0"/>
        <v>115.01705692604024</v>
      </c>
      <c r="C18" s="25">
        <f t="shared" si="1"/>
        <v>0.15091598953998445</v>
      </c>
      <c r="D18" s="7"/>
    </row>
    <row r="19" spans="1:4" x14ac:dyDescent="0.15">
      <c r="A19" s="7">
        <f t="shared" si="2"/>
        <v>250</v>
      </c>
      <c r="B19" s="25">
        <f t="shared" si="0"/>
        <v>117.33772713559677</v>
      </c>
      <c r="C19" s="25">
        <f t="shared" si="1"/>
        <v>0.15381905072708266</v>
      </c>
      <c r="D19" s="7"/>
    </row>
    <row r="20" spans="1:4" x14ac:dyDescent="0.15">
      <c r="A20" s="7">
        <f t="shared" si="2"/>
        <v>260</v>
      </c>
      <c r="B20" s="25">
        <f t="shared" si="0"/>
        <v>119.65839734515329</v>
      </c>
      <c r="C20" s="25">
        <f t="shared" si="1"/>
        <v>0.15671676432609466</v>
      </c>
      <c r="D20" s="7"/>
    </row>
    <row r="21" spans="1:4" x14ac:dyDescent="0.15">
      <c r="A21" s="7">
        <f t="shared" si="2"/>
        <v>270</v>
      </c>
      <c r="B21" s="25">
        <f t="shared" si="0"/>
        <v>121.9790675547098</v>
      </c>
      <c r="C21" s="25">
        <f t="shared" si="1"/>
        <v>0.1596091450992228</v>
      </c>
      <c r="D21" s="7"/>
    </row>
    <row r="22" spans="1:4" x14ac:dyDescent="0.15">
      <c r="A22" s="7">
        <f t="shared" si="2"/>
        <v>280</v>
      </c>
      <c r="B22" s="25">
        <f t="shared" si="0"/>
        <v>124.29973776426633</v>
      </c>
      <c r="C22" s="25">
        <f t="shared" si="1"/>
        <v>0.16249620775438384</v>
      </c>
      <c r="D22" s="7"/>
    </row>
    <row r="23" spans="1:4" x14ac:dyDescent="0.15">
      <c r="A23" s="7">
        <f t="shared" si="2"/>
        <v>290</v>
      </c>
      <c r="B23" s="25">
        <f t="shared" si="0"/>
        <v>126.62040797382285</v>
      </c>
      <c r="C23" s="25">
        <f t="shared" si="1"/>
        <v>0.16537796694545837</v>
      </c>
      <c r="D23" s="7"/>
    </row>
    <row r="24" spans="1:4" x14ac:dyDescent="0.15">
      <c r="A24" s="7">
        <f t="shared" si="2"/>
        <v>300</v>
      </c>
      <c r="B24" s="25">
        <f t="shared" si="0"/>
        <v>128.94107818337937</v>
      </c>
      <c r="C24" s="25">
        <f t="shared" si="1"/>
        <v>0.16825443727253875</v>
      </c>
      <c r="D24" s="7"/>
    </row>
    <row r="25" spans="1:4" x14ac:dyDescent="0.15">
      <c r="A25" s="7">
        <f t="shared" si="2"/>
        <v>310</v>
      </c>
      <c r="B25" s="25">
        <f t="shared" si="0"/>
        <v>131.26174839293589</v>
      </c>
      <c r="C25" s="25">
        <f t="shared" si="1"/>
        <v>0.1711256332821757</v>
      </c>
      <c r="D25" s="7"/>
    </row>
    <row r="26" spans="1:4" x14ac:dyDescent="0.15">
      <c r="A26" s="7">
        <f t="shared" si="2"/>
        <v>320</v>
      </c>
      <c r="B26" s="25">
        <f t="shared" si="0"/>
        <v>133.5824186024924</v>
      </c>
      <c r="C26" s="25">
        <f t="shared" si="1"/>
        <v>0.1739915694676234</v>
      </c>
      <c r="D26" s="7"/>
    </row>
    <row r="27" spans="1:4" x14ac:dyDescent="0.15">
      <c r="A27" s="7">
        <f t="shared" si="2"/>
        <v>330</v>
      </c>
      <c r="B27" s="25">
        <f t="shared" si="0"/>
        <v>135.90308881204894</v>
      </c>
      <c r="C27" s="25">
        <f t="shared" si="1"/>
        <v>0.1768522602690836</v>
      </c>
      <c r="D27" s="7"/>
    </row>
    <row r="28" spans="1:4" x14ac:dyDescent="0.15">
      <c r="A28" s="7">
        <f t="shared" si="2"/>
        <v>340</v>
      </c>
      <c r="B28" s="25">
        <f t="shared" si="0"/>
        <v>138.22375902160545</v>
      </c>
      <c r="C28" s="25">
        <f t="shared" si="1"/>
        <v>0.1797077200739477</v>
      </c>
      <c r="D28" s="7"/>
    </row>
    <row r="29" spans="1:4" x14ac:dyDescent="0.15">
      <c r="A29" s="7">
        <f t="shared" si="2"/>
        <v>350</v>
      </c>
      <c r="B29" s="25">
        <f t="shared" si="0"/>
        <v>140.54442923116196</v>
      </c>
      <c r="C29" s="25">
        <f t="shared" si="1"/>
        <v>0.18255796321703846</v>
      </c>
      <c r="D29" s="7"/>
    </row>
    <row r="30" spans="1:4" x14ac:dyDescent="0.15">
      <c r="A30" s="7">
        <f t="shared" si="2"/>
        <v>360</v>
      </c>
      <c r="B30" s="25">
        <f t="shared" si="0"/>
        <v>142.8650994407185</v>
      </c>
      <c r="C30" s="25">
        <f t="shared" si="1"/>
        <v>0.18540300398084958</v>
      </c>
      <c r="D30" s="7"/>
    </row>
    <row r="31" spans="1:4" x14ac:dyDescent="0.15">
      <c r="A31" s="7">
        <f t="shared" si="2"/>
        <v>370</v>
      </c>
      <c r="B31" s="25">
        <f t="shared" si="0"/>
        <v>145.18576965027501</v>
      </c>
      <c r="C31" s="25">
        <f t="shared" si="1"/>
        <v>0.18824285659578427</v>
      </c>
      <c r="D31" s="7"/>
    </row>
    <row r="32" spans="1:4" x14ac:dyDescent="0.15">
      <c r="A32" s="7">
        <f t="shared" si="2"/>
        <v>380</v>
      </c>
      <c r="B32" s="25">
        <f t="shared" si="0"/>
        <v>147.50643985983152</v>
      </c>
      <c r="C32" s="25">
        <f t="shared" si="1"/>
        <v>0.19107753524039256</v>
      </c>
      <c r="D32" s="7"/>
    </row>
    <row r="33" spans="1:4" x14ac:dyDescent="0.15">
      <c r="A33" s="7">
        <f t="shared" si="2"/>
        <v>390</v>
      </c>
      <c r="B33" s="25">
        <f t="shared" si="0"/>
        <v>149.82711006938806</v>
      </c>
      <c r="C33" s="25">
        <f t="shared" si="1"/>
        <v>0.19390705404160744</v>
      </c>
      <c r="D33" s="7"/>
    </row>
    <row r="34" spans="1:4" x14ac:dyDescent="0.15">
      <c r="A34" s="7">
        <f t="shared" si="2"/>
        <v>400</v>
      </c>
      <c r="B34" s="25">
        <f t="shared" si="0"/>
        <v>152.14778027894457</v>
      </c>
      <c r="C34" s="25">
        <f t="shared" si="1"/>
        <v>0.19673142707497915</v>
      </c>
      <c r="D34" s="7"/>
    </row>
    <row r="35" spans="1:4" x14ac:dyDescent="0.15">
      <c r="A35" s="7">
        <f t="shared" si="2"/>
        <v>410</v>
      </c>
      <c r="B35" s="25">
        <f t="shared" si="0"/>
        <v>154.46845048850108</v>
      </c>
      <c r="C35" s="25">
        <f t="shared" si="1"/>
        <v>0.19955066836490887</v>
      </c>
      <c r="D35" s="7"/>
    </row>
    <row r="36" spans="1:4" x14ac:dyDescent="0.15">
      <c r="A36" s="7">
        <f t="shared" si="2"/>
        <v>420</v>
      </c>
      <c r="B36" s="25">
        <f t="shared" si="0"/>
        <v>156.78912069805762</v>
      </c>
      <c r="C36" s="25">
        <f t="shared" si="1"/>
        <v>0.20236479188488093</v>
      </c>
      <c r="D36" s="7"/>
    </row>
    <row r="37" spans="1:4" x14ac:dyDescent="0.15">
      <c r="A37" s="7">
        <f t="shared" si="2"/>
        <v>430</v>
      </c>
      <c r="B37" s="25">
        <f t="shared" si="0"/>
        <v>159.10979090761413</v>
      </c>
      <c r="C37" s="25">
        <f t="shared" si="1"/>
        <v>0.20517381155769324</v>
      </c>
      <c r="D37" s="7"/>
    </row>
    <row r="38" spans="1:4" x14ac:dyDescent="0.15">
      <c r="A38" s="7">
        <f t="shared" si="2"/>
        <v>440</v>
      </c>
      <c r="B38" s="25">
        <f t="shared" si="0"/>
        <v>161.43046111717064</v>
      </c>
      <c r="C38" s="25">
        <f t="shared" si="1"/>
        <v>0.20797774125568741</v>
      </c>
      <c r="D38" s="7"/>
    </row>
    <row r="39" spans="1:4" x14ac:dyDescent="0.15">
      <c r="A39" s="7">
        <f t="shared" si="2"/>
        <v>450</v>
      </c>
      <c r="B39" s="25">
        <f t="shared" si="0"/>
        <v>163.75113132672718</v>
      </c>
      <c r="C39" s="25">
        <f t="shared" si="1"/>
        <v>0.21077659480097685</v>
      </c>
      <c r="D39" s="7"/>
    </row>
    <row r="40" spans="1:4" x14ac:dyDescent="0.15">
      <c r="A40" s="7">
        <f t="shared" si="2"/>
        <v>460</v>
      </c>
      <c r="B40" s="25">
        <f t="shared" si="0"/>
        <v>166.07180153628369</v>
      </c>
      <c r="C40" s="25">
        <f t="shared" si="1"/>
        <v>0.21357038596567385</v>
      </c>
      <c r="D40" s="7"/>
    </row>
    <row r="41" spans="1:4" x14ac:dyDescent="0.15">
      <c r="A41" s="7">
        <f t="shared" si="2"/>
        <v>470</v>
      </c>
      <c r="B41" s="25">
        <f t="shared" si="0"/>
        <v>168.3924717458402</v>
      </c>
      <c r="C41" s="25">
        <f t="shared" si="1"/>
        <v>0.21635912847211555</v>
      </c>
      <c r="D41" s="7"/>
    </row>
    <row r="42" spans="1:4" x14ac:dyDescent="0.15">
      <c r="A42" s="7">
        <f t="shared" si="2"/>
        <v>480</v>
      </c>
      <c r="B42" s="25">
        <f t="shared" si="0"/>
        <v>170.71314195539674</v>
      </c>
      <c r="C42" s="25">
        <f t="shared" si="1"/>
        <v>0.2191428359930887</v>
      </c>
      <c r="D42" s="7"/>
    </row>
    <row r="43" spans="1:4" x14ac:dyDescent="0.15">
      <c r="A43" s="7"/>
      <c r="B43" s="7"/>
      <c r="C43" s="7"/>
      <c r="D43" s="7"/>
    </row>
    <row r="44" spans="1:4" x14ac:dyDescent="0.15">
      <c r="A44" s="7"/>
      <c r="B44" s="7"/>
      <c r="C44" s="7"/>
      <c r="D44" s="7"/>
    </row>
    <row r="45" spans="1:4" ht="12.75" customHeight="1" x14ac:dyDescent="0.15">
      <c r="A45" s="47"/>
      <c r="B45" s="47"/>
      <c r="C45" s="7" t="s">
        <v>86</v>
      </c>
      <c r="D45" s="7" t="s">
        <v>85</v>
      </c>
    </row>
    <row r="46" spans="1:4" x14ac:dyDescent="0.15">
      <c r="A46" s="7" t="s">
        <v>23</v>
      </c>
      <c r="B46" s="8">
        <v>3504.7</v>
      </c>
      <c r="C46" s="7"/>
      <c r="D46" s="7"/>
    </row>
    <row r="47" spans="1:4" x14ac:dyDescent="0.15">
      <c r="A47" s="7" t="s">
        <v>12</v>
      </c>
      <c r="B47" s="8">
        <v>-289.19</v>
      </c>
      <c r="C47" s="7"/>
      <c r="D47" s="7"/>
    </row>
    <row r="48" spans="1:4" x14ac:dyDescent="0.15">
      <c r="A48" s="7" t="s">
        <v>24</v>
      </c>
      <c r="B48" s="8">
        <v>6.06</v>
      </c>
      <c r="C48" s="7"/>
      <c r="D48" s="7"/>
    </row>
    <row r="49" spans="1:8" x14ac:dyDescent="0.15">
      <c r="A49" s="7" t="s">
        <v>25</v>
      </c>
      <c r="B49" s="7" t="s">
        <v>26</v>
      </c>
      <c r="C49" s="7" t="s">
        <v>27</v>
      </c>
      <c r="D49" s="7"/>
    </row>
    <row r="50" spans="1:8" x14ac:dyDescent="0.15">
      <c r="A50" s="7">
        <v>580</v>
      </c>
      <c r="B50" s="7">
        <f>(A50-$B$47)/$B$46</f>
        <v>0.24800696207949327</v>
      </c>
      <c r="C50" s="7">
        <f>B50*$B$48</f>
        <v>1.5029221902017291</v>
      </c>
      <c r="D50" s="7" t="s">
        <v>65</v>
      </c>
      <c r="G50">
        <f>B8-1.5</f>
        <v>1.7999999999999998</v>
      </c>
      <c r="H50" t="s">
        <v>66</v>
      </c>
    </row>
    <row r="51" spans="1:8" x14ac:dyDescent="0.15">
      <c r="A51" s="7">
        <v>480</v>
      </c>
      <c r="B51" s="7">
        <f>(A51-$B$47)/$B$46</f>
        <v>0.21947384940223133</v>
      </c>
      <c r="C51" s="9">
        <f>B51*$B$48</f>
        <v>1.3300115273775217</v>
      </c>
      <c r="D51" s="7"/>
    </row>
    <row r="52" spans="1:8" x14ac:dyDescent="0.15">
      <c r="A52" s="7">
        <v>350</v>
      </c>
      <c r="B52" s="7">
        <f>(A52-$B$47)/$B$46</f>
        <v>0.18238080292179076</v>
      </c>
      <c r="C52" s="7">
        <f>B52*$B$48</f>
        <v>1.105227665706052</v>
      </c>
      <c r="D52" s="7"/>
    </row>
    <row r="53" spans="1:8" x14ac:dyDescent="0.15">
      <c r="A53" s="7">
        <v>200</v>
      </c>
      <c r="B53" s="7">
        <f>(A53-$B$47)/$B$46</f>
        <v>0.1395811339058978</v>
      </c>
      <c r="C53" s="9">
        <f>B53*$B$48</f>
        <v>0.84586167146974056</v>
      </c>
      <c r="D53" s="7"/>
    </row>
    <row r="54" spans="1:8" x14ac:dyDescent="0.15">
      <c r="A54" s="7">
        <v>100</v>
      </c>
      <c r="B54" s="7">
        <f>(A54-$B$47)/$B$46</f>
        <v>0.11104802122863584</v>
      </c>
      <c r="C54" s="7">
        <f>B54*$B$48</f>
        <v>0.67295100864553314</v>
      </c>
      <c r="D54" s="7"/>
    </row>
    <row r="55" spans="1:8" x14ac:dyDescent="0.15">
      <c r="A55" s="7"/>
      <c r="B55" s="7"/>
      <c r="C55" s="7"/>
      <c r="D55" s="7"/>
    </row>
    <row r="56" spans="1:8" x14ac:dyDescent="0.15">
      <c r="A56" s="7"/>
      <c r="B56" s="7"/>
      <c r="C56" s="7"/>
      <c r="D56" s="7"/>
    </row>
    <row r="57" spans="1:8" x14ac:dyDescent="0.15">
      <c r="A57" s="7" t="s">
        <v>67</v>
      </c>
      <c r="B57" s="7"/>
      <c r="C57" s="9">
        <f>B48</f>
        <v>6.06</v>
      </c>
      <c r="D57" s="7" t="s">
        <v>68</v>
      </c>
    </row>
    <row r="58" spans="1:8" ht="27.75" customHeight="1" x14ac:dyDescent="0.15">
      <c r="A58" s="7" t="s">
        <v>92</v>
      </c>
      <c r="B58" s="7"/>
      <c r="C58" s="7" t="s">
        <v>22</v>
      </c>
      <c r="D58" s="7"/>
    </row>
    <row r="59" spans="1:8" x14ac:dyDescent="0.15">
      <c r="A59" s="7" t="s">
        <v>23</v>
      </c>
      <c r="B59" s="7">
        <f>B46/C57</f>
        <v>578.33333333333337</v>
      </c>
      <c r="C59" s="7"/>
    </row>
    <row r="60" spans="1:8" x14ac:dyDescent="0.15">
      <c r="A60" s="7" t="s">
        <v>12</v>
      </c>
      <c r="B60" s="7">
        <f>B47</f>
        <v>-289.19</v>
      </c>
      <c r="C60" s="7"/>
    </row>
    <row r="63" spans="1:8" x14ac:dyDescent="0.15">
      <c r="B63">
        <f>578.3333/4096</f>
        <v>0.1411946533203125</v>
      </c>
    </row>
  </sheetData>
  <mergeCells count="1">
    <mergeCell ref="A45:B45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7" workbookViewId="0">
      <selection activeCell="K35" sqref="K35"/>
    </sheetView>
  </sheetViews>
  <sheetFormatPr defaultRowHeight="13.5" x14ac:dyDescent="0.15"/>
  <cols>
    <col min="1" max="1" width="13.5" customWidth="1"/>
    <col min="2" max="2" width="13.875" customWidth="1"/>
    <col min="4" max="4" width="12.75" bestFit="1" customWidth="1"/>
  </cols>
  <sheetData>
    <row r="1" spans="1:6" x14ac:dyDescent="0.15">
      <c r="A1" t="s">
        <v>28</v>
      </c>
    </row>
    <row r="12" spans="1:6" x14ac:dyDescent="0.15">
      <c r="F12" t="s">
        <v>29</v>
      </c>
    </row>
    <row r="15" spans="1:6" x14ac:dyDescent="0.15">
      <c r="A15" t="s">
        <v>30</v>
      </c>
      <c r="B15" s="8">
        <v>1E-3</v>
      </c>
    </row>
    <row r="16" spans="1:6" x14ac:dyDescent="0.15">
      <c r="A16" t="s">
        <v>31</v>
      </c>
      <c r="B16" s="27">
        <f>TRANSPOSE(放大倍数中间值设定!C51)</f>
        <v>1.3300115273775217</v>
      </c>
    </row>
    <row r="17" spans="1:6" x14ac:dyDescent="0.15">
      <c r="A17" t="s">
        <v>32</v>
      </c>
      <c r="B17" s="27">
        <f>TRANSPOSE(放大倍数中间值设定!C53)</f>
        <v>0.84586167146974056</v>
      </c>
    </row>
    <row r="18" spans="1:6" x14ac:dyDescent="0.15">
      <c r="A18" t="s">
        <v>33</v>
      </c>
      <c r="B18" s="27">
        <f>TRANSPOSE(放大倍数中间值设定!B8)</f>
        <v>3.3</v>
      </c>
    </row>
    <row r="19" spans="1:6" x14ac:dyDescent="0.15">
      <c r="A19" t="s">
        <v>34</v>
      </c>
      <c r="B19" s="27">
        <f>TRANSPOSE(放大倍数中间值设定!B9)</f>
        <v>0</v>
      </c>
    </row>
    <row r="20" spans="1:6" x14ac:dyDescent="0.15">
      <c r="A20" t="s">
        <v>35</v>
      </c>
      <c r="B20" s="8">
        <v>10000</v>
      </c>
    </row>
    <row r="21" spans="1:6" x14ac:dyDescent="0.15">
      <c r="A21" t="s">
        <v>36</v>
      </c>
      <c r="B21" s="26">
        <f>B17/B15</f>
        <v>845.8616714697406</v>
      </c>
    </row>
    <row r="22" spans="1:6" x14ac:dyDescent="0.15">
      <c r="A22" t="s">
        <v>37</v>
      </c>
      <c r="B22" s="25">
        <f>1/(1/B23-1/B20)</f>
        <v>508.7825560266507</v>
      </c>
    </row>
    <row r="23" spans="1:6" x14ac:dyDescent="0.15">
      <c r="A23" t="s">
        <v>38</v>
      </c>
      <c r="B23" s="26">
        <f>(B16-B17)/B15</f>
        <v>484.14985590778116</v>
      </c>
    </row>
    <row r="24" spans="1:6" x14ac:dyDescent="0.15">
      <c r="A24" t="s">
        <v>39</v>
      </c>
      <c r="B24" s="9">
        <f>(B18+B19)/B16*(B23+B21)-B23-B21</f>
        <v>1969.9884726224786</v>
      </c>
    </row>
    <row r="27" spans="1:6" x14ac:dyDescent="0.15">
      <c r="A27" s="37"/>
      <c r="B27" s="38"/>
      <c r="C27" s="50"/>
      <c r="D27" s="51"/>
    </row>
    <row r="28" spans="1:6" x14ac:dyDescent="0.15">
      <c r="A28" s="48" t="s">
        <v>79</v>
      </c>
      <c r="B28" s="49"/>
      <c r="C28" s="49" t="s">
        <v>82</v>
      </c>
      <c r="D28" s="52"/>
    </row>
    <row r="29" spans="1:6" x14ac:dyDescent="0.15">
      <c r="A29" s="41" t="s">
        <v>39</v>
      </c>
      <c r="B29" s="45">
        <f>1/(1/C29+1/D29)</f>
        <v>2199.9998874418661</v>
      </c>
      <c r="C29" s="39">
        <v>2200</v>
      </c>
      <c r="D29" s="40">
        <v>43000000000</v>
      </c>
    </row>
    <row r="30" spans="1:6" x14ac:dyDescent="0.15">
      <c r="A30" s="41" t="s">
        <v>36</v>
      </c>
      <c r="B30" s="45">
        <f>1/(1/C30+1/D30)</f>
        <v>1679.9999999999998</v>
      </c>
      <c r="C30" s="39">
        <v>2400</v>
      </c>
      <c r="D30" s="40">
        <v>5600</v>
      </c>
    </row>
    <row r="31" spans="1:6" x14ac:dyDescent="0.15">
      <c r="A31" s="41" t="s">
        <v>37</v>
      </c>
      <c r="B31" s="45">
        <f>1/(1/C31+1/D31)</f>
        <v>1268.0412371134021</v>
      </c>
      <c r="C31" s="39">
        <v>1500</v>
      </c>
      <c r="D31" s="40">
        <v>8200</v>
      </c>
      <c r="F31" t="s">
        <v>88</v>
      </c>
    </row>
    <row r="32" spans="1:6" x14ac:dyDescent="0.15">
      <c r="A32" s="41" t="s">
        <v>41</v>
      </c>
      <c r="B32" s="45">
        <f>1/(1/B31+1/B20)</f>
        <v>1125.3430924062213</v>
      </c>
      <c r="C32" s="39"/>
      <c r="D32" s="40"/>
    </row>
    <row r="33" spans="1:4" x14ac:dyDescent="0.15">
      <c r="A33" s="41" t="s">
        <v>42</v>
      </c>
      <c r="B33" s="45"/>
      <c r="C33" s="39"/>
      <c r="D33" s="40"/>
    </row>
    <row r="34" spans="1:4" x14ac:dyDescent="0.15">
      <c r="A34" s="41" t="s">
        <v>43</v>
      </c>
      <c r="B34" s="45">
        <f>(B18+B19)*(B32+B30)/(B29+B30+B32)</f>
        <v>1.8495500192918848</v>
      </c>
      <c r="C34" s="39"/>
      <c r="D34" s="40"/>
    </row>
    <row r="35" spans="1:4" x14ac:dyDescent="0.15">
      <c r="A35" s="41" t="s">
        <v>44</v>
      </c>
      <c r="B35" s="45">
        <f>(B18+B19)*(B30)/(B29+B30+B32)</f>
        <v>1.1076164055731221</v>
      </c>
      <c r="C35" s="39"/>
      <c r="D35" s="40"/>
    </row>
    <row r="36" spans="1:4" x14ac:dyDescent="0.15">
      <c r="A36" s="41"/>
      <c r="B36" s="39"/>
      <c r="C36" s="39"/>
      <c r="D36" s="40"/>
    </row>
    <row r="37" spans="1:4" x14ac:dyDescent="0.15">
      <c r="A37" s="42"/>
      <c r="B37" s="43"/>
      <c r="C37" s="43"/>
      <c r="D37" s="44"/>
    </row>
  </sheetData>
  <mergeCells count="3">
    <mergeCell ref="A28:B28"/>
    <mergeCell ref="C27:D27"/>
    <mergeCell ref="C28:D28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0"/>
  <sheetViews>
    <sheetView topLeftCell="B7" workbookViewId="0">
      <selection activeCell="D26" sqref="D26"/>
    </sheetView>
  </sheetViews>
  <sheetFormatPr defaultRowHeight="13.5" x14ac:dyDescent="0.15"/>
  <cols>
    <col min="1" max="1" width="18.125" customWidth="1"/>
    <col min="2" max="2" width="27.375" customWidth="1"/>
    <col min="3" max="3" width="16.25" customWidth="1"/>
  </cols>
  <sheetData>
    <row r="2" spans="1:7" x14ac:dyDescent="0.15">
      <c r="B2" s="12"/>
      <c r="C2" s="13"/>
      <c r="D2" s="13"/>
      <c r="E2" s="13"/>
      <c r="F2" s="14"/>
    </row>
    <row r="3" spans="1:7" x14ac:dyDescent="0.15">
      <c r="B3" s="15" t="s">
        <v>58</v>
      </c>
      <c r="C3" s="16" t="s">
        <v>59</v>
      </c>
      <c r="D3" s="16"/>
      <c r="E3" s="16" t="s">
        <v>60</v>
      </c>
      <c r="F3" s="17"/>
    </row>
    <row r="4" spans="1:7" x14ac:dyDescent="0.15">
      <c r="B4" s="18" t="s">
        <v>23</v>
      </c>
      <c r="C4" s="29">
        <f>TRANSPOSE(放大倍数中间值设定!B59)</f>
        <v>578.33333333333337</v>
      </c>
      <c r="D4" s="16"/>
      <c r="E4" s="19" t="s">
        <v>23</v>
      </c>
      <c r="F4" s="30">
        <f>TRANSPOSE(放大倍数中间值设定!B46)</f>
        <v>3504.7</v>
      </c>
      <c r="G4" s="7"/>
    </row>
    <row r="5" spans="1:7" x14ac:dyDescent="0.15">
      <c r="B5" s="18" t="s">
        <v>12</v>
      </c>
      <c r="C5" s="29">
        <f>TRANSPOSE(放大倍数中间值设定!B60)</f>
        <v>-289.19</v>
      </c>
      <c r="D5" s="16"/>
      <c r="E5" s="19" t="s">
        <v>12</v>
      </c>
      <c r="F5" s="30">
        <f>TRANSPOSE(放大倍数中间值设定!B47)</f>
        <v>-289.19</v>
      </c>
      <c r="G5" s="7"/>
    </row>
    <row r="6" spans="1:7" x14ac:dyDescent="0.15">
      <c r="B6" s="18"/>
      <c r="C6" s="19"/>
      <c r="D6" s="16"/>
      <c r="E6" s="16"/>
      <c r="F6" s="17"/>
    </row>
    <row r="7" spans="1:7" x14ac:dyDescent="0.15">
      <c r="B7" s="18"/>
      <c r="C7" s="19"/>
      <c r="D7" s="16"/>
      <c r="E7" s="16"/>
      <c r="F7" s="17"/>
    </row>
    <row r="8" spans="1:7" x14ac:dyDescent="0.15">
      <c r="B8" s="18"/>
      <c r="C8" s="19"/>
      <c r="D8" s="16"/>
      <c r="E8" s="16"/>
      <c r="F8" s="17"/>
    </row>
    <row r="9" spans="1:7" x14ac:dyDescent="0.15">
      <c r="B9" s="15"/>
      <c r="C9" s="16"/>
      <c r="D9" s="16"/>
      <c r="E9" s="16"/>
      <c r="F9" s="17"/>
    </row>
    <row r="10" spans="1:7" x14ac:dyDescent="0.15">
      <c r="B10" s="31"/>
      <c r="E10" s="16"/>
      <c r="F10" s="17"/>
    </row>
    <row r="11" spans="1:7" x14ac:dyDescent="0.15">
      <c r="B11" s="31" t="s">
        <v>78</v>
      </c>
      <c r="C11" s="16" t="s">
        <v>61</v>
      </c>
      <c r="D11" s="16" t="s">
        <v>62</v>
      </c>
      <c r="E11" s="16"/>
      <c r="F11" s="17"/>
    </row>
    <row r="12" spans="1:7" x14ac:dyDescent="0.15">
      <c r="A12" t="s">
        <v>24</v>
      </c>
      <c r="B12" s="32">
        <f>(B13-C5)/C4</f>
        <v>1.0620000000000001</v>
      </c>
      <c r="C12" s="33">
        <f>$B$12/C14</f>
        <v>7.2385526750811957</v>
      </c>
      <c r="D12" s="33">
        <f>$B$12/D14</f>
        <v>5.211486299164088</v>
      </c>
      <c r="E12" s="16"/>
      <c r="F12" s="17"/>
    </row>
    <row r="13" spans="1:7" x14ac:dyDescent="0.15">
      <c r="A13" t="s">
        <v>25</v>
      </c>
      <c r="B13" s="15">
        <v>325</v>
      </c>
      <c r="C13" s="16">
        <v>225</v>
      </c>
      <c r="D13" s="16">
        <v>425</v>
      </c>
      <c r="E13" s="16"/>
      <c r="F13" s="17"/>
    </row>
    <row r="14" spans="1:7" x14ac:dyDescent="0.15">
      <c r="A14" t="s">
        <v>69</v>
      </c>
      <c r="B14" s="15">
        <f>(B13-$F$5)/$F$4</f>
        <v>0.17524752475247526</v>
      </c>
      <c r="C14" s="16">
        <f>(C13-$F$5)/$F$4</f>
        <v>0.1467144120752133</v>
      </c>
      <c r="D14" s="16">
        <f>(D13-$F$5)/$F$4</f>
        <v>0.20378063742973723</v>
      </c>
      <c r="E14" s="16"/>
      <c r="F14" s="17"/>
    </row>
    <row r="15" spans="1:7" x14ac:dyDescent="0.15">
      <c r="B15" s="20"/>
      <c r="C15" s="21"/>
      <c r="D15" s="21"/>
      <c r="E15" s="21"/>
      <c r="F15" s="22"/>
    </row>
    <row r="17" spans="2:7" x14ac:dyDescent="0.15">
      <c r="B17" t="s">
        <v>45</v>
      </c>
      <c r="C17" t="s">
        <v>46</v>
      </c>
      <c r="D17" s="26">
        <f>D12</f>
        <v>5.211486299164088</v>
      </c>
    </row>
    <row r="18" spans="2:7" x14ac:dyDescent="0.15">
      <c r="B18" t="s">
        <v>47</v>
      </c>
      <c r="C18" t="s">
        <v>48</v>
      </c>
      <c r="D18" s="28">
        <f>TRANSPOSE(放大倍数中间值设定!C57)</f>
        <v>6.06</v>
      </c>
    </row>
    <row r="19" spans="2:7" x14ac:dyDescent="0.15">
      <c r="B19" t="s">
        <v>49</v>
      </c>
      <c r="C19" t="s">
        <v>50</v>
      </c>
      <c r="D19" s="26">
        <f>C12</f>
        <v>7.2385526750811957</v>
      </c>
    </row>
    <row r="21" spans="2:7" x14ac:dyDescent="0.15">
      <c r="B21" t="s">
        <v>51</v>
      </c>
      <c r="G21" t="s">
        <v>70</v>
      </c>
    </row>
    <row r="22" spans="2:7" x14ac:dyDescent="0.15">
      <c r="B22" t="s">
        <v>52</v>
      </c>
      <c r="C22">
        <f>D18/(D18-D17+D19-D18)</f>
        <v>2.9895419666552692</v>
      </c>
    </row>
    <row r="25" spans="2:7" x14ac:dyDescent="0.15">
      <c r="B25" t="s">
        <v>53</v>
      </c>
      <c r="C25" s="24">
        <v>10000</v>
      </c>
    </row>
    <row r="26" spans="2:7" x14ac:dyDescent="0.15">
      <c r="B26" t="s">
        <v>54</v>
      </c>
      <c r="C26" s="34">
        <f>C25*C22</f>
        <v>29895.419666552691</v>
      </c>
    </row>
    <row r="27" spans="2:7" x14ac:dyDescent="0.15">
      <c r="B27" t="s">
        <v>55</v>
      </c>
      <c r="C27" s="34">
        <f>(C26+C25/2)/D18</f>
        <v>5758.3200769888936</v>
      </c>
    </row>
    <row r="32" spans="2:7" x14ac:dyDescent="0.15">
      <c r="B32" s="10" t="s">
        <v>80</v>
      </c>
      <c r="E32" t="s">
        <v>71</v>
      </c>
    </row>
    <row r="33" spans="2:6" x14ac:dyDescent="0.15">
      <c r="B33" s="10"/>
      <c r="C33" t="s">
        <v>83</v>
      </c>
      <c r="D33" t="s">
        <v>84</v>
      </c>
      <c r="E33" t="s">
        <v>84</v>
      </c>
    </row>
    <row r="34" spans="2:6" x14ac:dyDescent="0.15">
      <c r="B34" s="35" t="s">
        <v>56</v>
      </c>
      <c r="C34" s="36">
        <v>2000</v>
      </c>
    </row>
    <row r="35" spans="2:6" x14ac:dyDescent="0.15">
      <c r="B35" s="35" t="s">
        <v>57</v>
      </c>
      <c r="C35" s="36">
        <v>27000</v>
      </c>
    </row>
    <row r="36" spans="2:6" x14ac:dyDescent="0.15">
      <c r="B36" s="10"/>
      <c r="F36" t="s">
        <v>89</v>
      </c>
    </row>
    <row r="37" spans="2:6" x14ac:dyDescent="0.15">
      <c r="B37" s="11" t="s">
        <v>40</v>
      </c>
    </row>
    <row r="38" spans="2:6" x14ac:dyDescent="0.15">
      <c r="B38" t="s">
        <v>45</v>
      </c>
      <c r="C38" t="s">
        <v>46</v>
      </c>
      <c r="D38">
        <f>(C35)/C34</f>
        <v>13.5</v>
      </c>
    </row>
    <row r="39" spans="2:6" x14ac:dyDescent="0.15">
      <c r="B39" t="s">
        <v>47</v>
      </c>
      <c r="C39" t="s">
        <v>48</v>
      </c>
      <c r="D39">
        <f>(C25/2+C35)/C34</f>
        <v>16</v>
      </c>
    </row>
    <row r="40" spans="2:6" x14ac:dyDescent="0.15">
      <c r="B40" t="s">
        <v>49</v>
      </c>
      <c r="C40" t="s">
        <v>50</v>
      </c>
      <c r="D40">
        <f>(C25+C35)/C34</f>
        <v>18.5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9" workbookViewId="0">
      <selection activeCell="C18" sqref="C18"/>
    </sheetView>
  </sheetViews>
  <sheetFormatPr defaultRowHeight="13.5" x14ac:dyDescent="0.15"/>
  <cols>
    <col min="2" max="2" width="16.625" customWidth="1"/>
  </cols>
  <sheetData>
    <row r="1" spans="1:4" x14ac:dyDescent="0.15">
      <c r="B1" t="s">
        <v>72</v>
      </c>
    </row>
    <row r="2" spans="1:4" x14ac:dyDescent="0.15">
      <c r="A2" t="s">
        <v>74</v>
      </c>
      <c r="B2" t="s">
        <v>73</v>
      </c>
      <c r="C2" t="s">
        <v>39</v>
      </c>
      <c r="D2">
        <f>TRANSPOSE(分压电阻设定!B22)</f>
        <v>2400</v>
      </c>
    </row>
    <row r="17" spans="1:3" x14ac:dyDescent="0.15">
      <c r="A17" t="s">
        <v>75</v>
      </c>
      <c r="B17" t="s">
        <v>35</v>
      </c>
      <c r="C17">
        <f>TRANSPOSE(温度调整区域设定!B20)</f>
        <v>10000</v>
      </c>
    </row>
    <row r="18" spans="1:3" x14ac:dyDescent="0.15">
      <c r="B18" t="s">
        <v>39</v>
      </c>
      <c r="C18">
        <f>TRANSPOSE(温度调整区域设定!B24)</f>
        <v>1969.9884726224786</v>
      </c>
    </row>
    <row r="19" spans="1:3" x14ac:dyDescent="0.15">
      <c r="B19" t="s">
        <v>36</v>
      </c>
      <c r="C19">
        <f>TRANSPOSE(温度调整区域设定!B21)</f>
        <v>845.8616714697406</v>
      </c>
    </row>
    <row r="20" spans="1:3" x14ac:dyDescent="0.15">
      <c r="B20" t="s">
        <v>37</v>
      </c>
      <c r="C20">
        <f>TRANSPOSE(温度调整区域设定!B22)</f>
        <v>508.7825560266507</v>
      </c>
    </row>
    <row r="25" spans="1:3" x14ac:dyDescent="0.15">
      <c r="A25" t="s">
        <v>76</v>
      </c>
    </row>
    <row r="27" spans="1:3" x14ac:dyDescent="0.15">
      <c r="B27" t="s">
        <v>35</v>
      </c>
      <c r="C27">
        <f>TRANSPOSE(温度校准范围设定!C25)</f>
        <v>10000</v>
      </c>
    </row>
    <row r="28" spans="1:3" x14ac:dyDescent="0.15">
      <c r="B28" t="s">
        <v>39</v>
      </c>
      <c r="C28">
        <f>TRANSPOSE(温度校准范围设定!C27)</f>
        <v>5758.3200769888936</v>
      </c>
    </row>
    <row r="29" spans="1:3" x14ac:dyDescent="0.15">
      <c r="B29" t="s">
        <v>36</v>
      </c>
      <c r="C29">
        <f>TRANSPOSE(温度校准范围设定!C26)</f>
        <v>29895.419666552691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tabSelected="1" workbookViewId="0">
      <selection activeCell="D14" sqref="D14"/>
    </sheetView>
  </sheetViews>
  <sheetFormatPr defaultRowHeight="13.5" x14ac:dyDescent="0.15"/>
  <sheetData>
    <row r="1" spans="2:5" x14ac:dyDescent="0.15">
      <c r="E1">
        <v>0.3</v>
      </c>
    </row>
    <row r="2" spans="2:5" x14ac:dyDescent="0.15">
      <c r="E2">
        <v>0</v>
      </c>
    </row>
    <row r="3" spans="2:5" x14ac:dyDescent="0.15">
      <c r="D3" t="s">
        <v>94</v>
      </c>
    </row>
    <row r="4" spans="2:5" x14ac:dyDescent="0.15">
      <c r="B4">
        <v>340</v>
      </c>
      <c r="C4">
        <v>200</v>
      </c>
      <c r="D4">
        <f>(B4+$E$2)/$E$1</f>
        <v>1133.3333333333335</v>
      </c>
    </row>
    <row r="5" spans="2:5" x14ac:dyDescent="0.15">
      <c r="B5">
        <v>420</v>
      </c>
      <c r="C5">
        <v>295</v>
      </c>
      <c r="D5">
        <f>(B5+$E$2)/$E$1</f>
        <v>1400</v>
      </c>
    </row>
    <row r="6" spans="2:5" x14ac:dyDescent="0.15">
      <c r="B6">
        <v>480</v>
      </c>
      <c r="C6">
        <v>373</v>
      </c>
      <c r="D6">
        <f>(B6+$E$2)/$E$1</f>
        <v>1600</v>
      </c>
    </row>
    <row r="25" spans="9:9" x14ac:dyDescent="0.15">
      <c r="I25">
        <f>0.8*380+76</f>
        <v>380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分压电阻设定</vt:lpstr>
      <vt:lpstr>放大倍数中间值设定</vt:lpstr>
      <vt:lpstr>温度调整区域设定</vt:lpstr>
      <vt:lpstr>温度校准范围设定</vt:lpstr>
      <vt:lpstr>参数结果一览表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2016-07-13T09:06:33Z</dcterms:modified>
</cp:coreProperties>
</file>