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nxserver\htdocs\NQCL_LIMS\Workbooks\NDQTRACKING\"/>
    </mc:Choice>
  </mc:AlternateContent>
  <bookViews>
    <workbookView xWindow="0" yWindow="0" windowWidth="20490" windowHeight="7905" activeTab="2"/>
  </bookViews>
  <sheets>
    <sheet name="Sheet1" sheetId="1" r:id="rId1"/>
    <sheet name="Uniformity" sheetId="2" r:id="rId2"/>
    <sheet name="AI_papapa" sheetId="3" r:id="rId3"/>
  </sheets>
  <definedNames>
    <definedName name="_xlnm.Print_Area" localSheetId="2">AI_papapa!$A$1:$H$79</definedName>
  </definedNames>
  <calcPr calcId="152511"/>
</workbook>
</file>

<file path=xl/calcChain.xml><?xml version="1.0" encoding="utf-8"?>
<calcChain xmlns="http://schemas.openxmlformats.org/spreadsheetml/2006/main">
  <c r="H70" i="3" l="1"/>
  <c r="G70" i="3"/>
  <c r="B67" i="3"/>
  <c r="B68" i="3" s="1"/>
  <c r="H66" i="3"/>
  <c r="G66" i="3"/>
  <c r="H62" i="3"/>
  <c r="G62" i="3"/>
  <c r="B45" i="3"/>
  <c r="D48" i="3" s="1"/>
  <c r="F42" i="3"/>
  <c r="D42" i="3"/>
  <c r="G41" i="3"/>
  <c r="E41" i="3"/>
  <c r="B34" i="3"/>
  <c r="F44" i="3" s="1"/>
  <c r="F45" i="3" s="1"/>
  <c r="F46" i="3" s="1"/>
  <c r="B30" i="3"/>
  <c r="A26" i="2"/>
  <c r="A25" i="2"/>
  <c r="B24" i="2"/>
  <c r="B25" i="2" s="1"/>
  <c r="A24" i="2"/>
  <c r="B23" i="2"/>
  <c r="A23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3" i="2" s="1"/>
  <c r="G40" i="3" l="1"/>
  <c r="G38" i="3"/>
  <c r="G42" i="3" s="1"/>
  <c r="D49" i="3"/>
  <c r="G39" i="3"/>
  <c r="C24" i="2"/>
  <c r="D17" i="2" s="1"/>
  <c r="B26" i="2"/>
  <c r="D44" i="3"/>
  <c r="D45" i="3" s="1"/>
  <c r="D46" i="3" s="1"/>
  <c r="D6" i="2" l="1"/>
  <c r="D2" i="2"/>
  <c r="D4" i="2"/>
  <c r="D21" i="2"/>
  <c r="D16" i="2"/>
  <c r="D19" i="2"/>
  <c r="D3" i="2"/>
  <c r="E40" i="3"/>
  <c r="D14" i="2"/>
  <c r="C26" i="2"/>
  <c r="C25" i="2"/>
  <c r="D9" i="2"/>
  <c r="D8" i="2"/>
  <c r="D11" i="2"/>
  <c r="D18" i="2"/>
  <c r="D20" i="2"/>
  <c r="D7" i="2"/>
  <c r="E38" i="3"/>
  <c r="D13" i="2"/>
  <c r="D12" i="2"/>
  <c r="D15" i="2"/>
  <c r="E39" i="3"/>
  <c r="D10" i="2"/>
  <c r="D5" i="2"/>
  <c r="D52" i="3" l="1"/>
  <c r="D50" i="3"/>
  <c r="E42" i="3"/>
  <c r="G67" i="3" l="1"/>
  <c r="H67" i="3" s="1"/>
  <c r="G68" i="3"/>
  <c r="H68" i="3" s="1"/>
  <c r="G65" i="3"/>
  <c r="H65" i="3" s="1"/>
  <c r="G63" i="3"/>
  <c r="H63" i="3" s="1"/>
  <c r="G61" i="3"/>
  <c r="H61" i="3" s="1"/>
  <c r="G59" i="3"/>
  <c r="H59" i="3" s="1"/>
  <c r="G69" i="3"/>
  <c r="H69" i="3" s="1"/>
  <c r="G64" i="3"/>
  <c r="H64" i="3" s="1"/>
  <c r="G60" i="3"/>
  <c r="H60" i="3" s="1"/>
  <c r="D51" i="3"/>
  <c r="H73" i="3" l="1"/>
  <c r="H71" i="3"/>
  <c r="H72" i="3" s="1"/>
</calcChain>
</file>

<file path=xl/sharedStrings.xml><?xml version="1.0" encoding="utf-8"?>
<sst xmlns="http://schemas.openxmlformats.org/spreadsheetml/2006/main" count="94" uniqueCount="85">
  <si>
    <t>Intact Capsule</t>
  </si>
  <si>
    <t>Empty Shell</t>
  </si>
  <si>
    <t>Capsule Content</t>
  </si>
  <si>
    <t>Analysis Report</t>
  </si>
  <si>
    <t>Sample Name:</t>
  </si>
  <si>
    <t>Paclitero 300</t>
  </si>
  <si>
    <t>Laboratory Ref No:</t>
  </si>
  <si>
    <t>NDQTRACKING</t>
  </si>
  <si>
    <t>Active Ingredient:</t>
  </si>
  <si>
    <t>6mg paclitaxel USP,527mg polyoxyl 35 castor oil (cremophor ELP) USP-NF 49.7% v/v</t>
  </si>
  <si>
    <t>Label Claim:</t>
  </si>
  <si>
    <t>Each vials contains 6mg Paclitaxel USP,527mg Polyoxyl 35 castor oil (cremophor ELP) USP-UF 49.7% v/v</t>
  </si>
  <si>
    <t>Date Analysis Started:</t>
  </si>
  <si>
    <t>2014-12-01 10:41:55</t>
  </si>
  <si>
    <t>Date Analysis Completed:</t>
  </si>
  <si>
    <t>Analysis Data</t>
  </si>
  <si>
    <t>Reference Substance:</t>
  </si>
  <si>
    <t>Pantoprazole Sodiumsesquihydra</t>
  </si>
  <si>
    <t>Code:</t>
  </si>
  <si>
    <t>NQCL-WRS-P11-1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</si>
  <si>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</si>
  <si>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</si>
  <si>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</si>
  <si>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</si>
  <si>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</si>
  <si>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</si>
  <si>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</si>
  <si>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</si>
  <si>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</si>
  <si>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</si>
  <si>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</si>
  <si>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</si>
  <si>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</si>
  <si>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</si>
  <si>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</si>
  <si>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</si>
  <si>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</si>
  <si>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</si>
  <si>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</si>
  <si>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</si>
  <si>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</si>
  <si>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</si>
  <si>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</si>
  <si>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</si>
  <si>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</si>
  <si>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</si>
  <si>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</si>
  <si>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</si>
  <si>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</si>
  <si>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</si>
  <si>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</si>
  <si>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</si>
  <si>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</si>
  <si>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</si>
  <si>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</si>
  <si>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</si>
  <si>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n:</t>
  </si>
  <si>
    <t>Determination of Amoxicillin Content in Sample</t>
  </si>
  <si>
    <t xml:space="preserve">Label Claim: </t>
  </si>
  <si>
    <t>papapa</t>
  </si>
  <si>
    <t>Each</t>
  </si>
  <si>
    <t>contains</t>
  </si>
  <si>
    <t>Initial    Sample dilution</t>
  </si>
  <si>
    <t>Sample Vol (mL)</t>
  </si>
  <si>
    <t>Injection</t>
  </si>
  <si>
    <t>Determined Amt (iu)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</si>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</sst>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000"/>
    <numFmt numFmtId="166" formatCode="0.0%"/>
    <numFmt numFmtId="167" formatCode="0.000"/>
    <numFmt numFmtId="168" formatCode="0.0000\ &quot;mg&quot;"/>
    <numFmt numFmtId="169" formatCode="0.0\ &quot;mL&quot;"/>
    <numFmt numFmtId="170" formatCode="0\ &quot;iu&quot;"/>
    <numFmt numFmtId="171" formatCode="dd\-mmm\-yyyy"/>
    <numFmt numFmtId="172" formatCode="dd\-mmm\-yy"/>
  </numFmts>
  <fonts count="13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62">
    <xf numFmtId="0" fontId="0" fillId="2" borderId="0" xfId="0" applyFill="1"/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166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 applyProtection="1">
      <alignment horizontal="center" wrapText="1"/>
      <protection locked="0"/>
    </xf>
    <xf numFmtId="2" fontId="1" fillId="2" borderId="0" xfId="0" applyNumberFormat="1" applyFont="1" applyFill="1" applyAlignment="1">
      <alignment horizontal="center" wrapText="1"/>
    </xf>
    <xf numFmtId="10" fontId="3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0" fontId="0" fillId="2" borderId="0" xfId="0" applyNumberFormat="1" applyFill="1"/>
    <xf numFmtId="0" fontId="4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167" fontId="4" fillId="2" borderId="3" xfId="0" applyNumberFormat="1" applyFont="1" applyFill="1" applyBorder="1" applyAlignment="1">
      <alignment horizontal="center"/>
    </xf>
    <xf numFmtId="167" fontId="4" fillId="2" borderId="4" xfId="0" applyNumberFormat="1" applyFont="1" applyFill="1" applyBorder="1" applyAlignment="1">
      <alignment horizontal="center"/>
    </xf>
    <xf numFmtId="167" fontId="4" fillId="2" borderId="5" xfId="0" applyNumberFormat="1" applyFont="1" applyFill="1" applyBorder="1" applyAlignment="1">
      <alignment horizontal="center"/>
    </xf>
    <xf numFmtId="167" fontId="5" fillId="4" borderId="6" xfId="0" applyNumberFormat="1" applyFont="1" applyFill="1" applyBorder="1" applyAlignment="1">
      <alignment horizontal="center"/>
    </xf>
    <xf numFmtId="1" fontId="5" fillId="4" borderId="7" xfId="0" applyNumberFormat="1" applyFont="1" applyFill="1" applyBorder="1" applyAlignment="1">
      <alignment horizontal="center"/>
    </xf>
    <xf numFmtId="167" fontId="4" fillId="2" borderId="8" xfId="0" applyNumberFormat="1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4" fillId="2" borderId="10" xfId="0" applyNumberFormat="1" applyFont="1" applyFill="1" applyBorder="1" applyAlignment="1">
      <alignment horizontal="center"/>
    </xf>
    <xf numFmtId="2" fontId="4" fillId="4" borderId="11" xfId="0" applyNumberFormat="1" applyFont="1" applyFill="1" applyBorder="1" applyAlignment="1">
      <alignment horizontal="center"/>
    </xf>
    <xf numFmtId="2" fontId="4" fillId="5" borderId="11" xfId="0" applyNumberFormat="1" applyFont="1" applyFill="1" applyBorder="1" applyAlignment="1">
      <alignment horizontal="center"/>
    </xf>
    <xf numFmtId="2" fontId="4" fillId="4" borderId="12" xfId="0" applyNumberFormat="1" applyFont="1" applyFill="1" applyBorder="1" applyAlignment="1">
      <alignment horizontal="center"/>
    </xf>
    <xf numFmtId="167" fontId="5" fillId="5" borderId="13" xfId="0" applyNumberFormat="1" applyFont="1" applyFill="1" applyBorder="1" applyAlignment="1">
      <alignment horizontal="center"/>
    </xf>
    <xf numFmtId="10" fontId="4" fillId="4" borderId="11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" fillId="2" borderId="14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right"/>
    </xf>
    <xf numFmtId="0" fontId="4" fillId="2" borderId="11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0" fontId="6" fillId="2" borderId="0" xfId="0" applyFont="1" applyFill="1"/>
    <xf numFmtId="0" fontId="7" fillId="2" borderId="0" xfId="0" applyFont="1" applyFill="1"/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8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16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0" fontId="4" fillId="2" borderId="16" xfId="0" applyNumberFormat="1" applyFont="1" applyFill="1" applyBorder="1" applyAlignment="1">
      <alignment horizontal="center" vertical="center"/>
    </xf>
    <xf numFmtId="2" fontId="4" fillId="2" borderId="15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 vertical="center"/>
    </xf>
    <xf numFmtId="10" fontId="4" fillId="2" borderId="18" xfId="0" applyNumberFormat="1" applyFont="1" applyFill="1" applyBorder="1" applyAlignment="1">
      <alignment horizontal="center" vertical="center"/>
    </xf>
    <xf numFmtId="10" fontId="5" fillId="4" borderId="19" xfId="0" applyNumberFormat="1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2" borderId="21" xfId="0" applyFont="1" applyFill="1" applyBorder="1"/>
    <xf numFmtId="0" fontId="10" fillId="2" borderId="21" xfId="0" applyFont="1" applyFill="1" applyBorder="1" applyAlignment="1">
      <alignment horizontal="right" vertical="center" wrapText="1"/>
    </xf>
    <xf numFmtId="0" fontId="5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0" fontId="4" fillId="3" borderId="22" xfId="0" applyFont="1" applyFill="1" applyBorder="1" applyAlignment="1" applyProtection="1">
      <alignment horizontal="center"/>
      <protection locked="0"/>
    </xf>
    <xf numFmtId="0" fontId="4" fillId="3" borderId="23" xfId="0" applyFont="1" applyFill="1" applyBorder="1" applyAlignment="1" applyProtection="1">
      <alignment horizontal="center"/>
      <protection locked="0"/>
    </xf>
    <xf numFmtId="169" fontId="5" fillId="3" borderId="0" xfId="0" applyNumberFormat="1" applyFont="1" applyFill="1" applyAlignment="1" applyProtection="1">
      <alignment horizontal="center"/>
      <protection locked="0"/>
    </xf>
    <xf numFmtId="170" fontId="5" fillId="3" borderId="0" xfId="0" applyNumberFormat="1" applyFont="1" applyFill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center"/>
      <protection locked="0"/>
    </xf>
    <xf numFmtId="0" fontId="4" fillId="3" borderId="17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alignment horizontal="center"/>
      <protection locked="0"/>
    </xf>
    <xf numFmtId="0" fontId="4" fillId="2" borderId="2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3" borderId="0" xfId="0" applyFont="1" applyFill="1" applyAlignment="1" applyProtection="1">
      <alignment horizontal="left"/>
      <protection locked="0"/>
    </xf>
    <xf numFmtId="171" fontId="4" fillId="3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172" fontId="4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right"/>
    </xf>
    <xf numFmtId="2" fontId="5" fillId="2" borderId="1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3" borderId="22" xfId="0" applyFont="1" applyFill="1" applyBorder="1" applyAlignment="1" applyProtection="1">
      <alignment horizontal="center"/>
      <protection locked="0"/>
    </xf>
    <xf numFmtId="0" fontId="5" fillId="3" borderId="23" xfId="0" applyFont="1" applyFill="1" applyBorder="1" applyAlignment="1" applyProtection="1">
      <alignment horizontal="center"/>
      <protection locked="0"/>
    </xf>
    <xf numFmtId="0" fontId="5" fillId="3" borderId="27" xfId="0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0" fontId="5" fillId="3" borderId="28" xfId="0" applyFont="1" applyFill="1" applyBorder="1" applyAlignment="1" applyProtection="1">
      <alignment horizontal="center"/>
      <protection locked="0"/>
    </xf>
    <xf numFmtId="0" fontId="5" fillId="3" borderId="29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3" borderId="30" xfId="0" applyFont="1" applyFill="1" applyBorder="1" applyAlignment="1" applyProtection="1">
      <alignment horizontal="center"/>
      <protection locked="0"/>
    </xf>
    <xf numFmtId="2" fontId="4" fillId="2" borderId="31" xfId="0" applyNumberFormat="1" applyFont="1" applyFill="1" applyBorder="1" applyAlignment="1">
      <alignment horizontal="center"/>
    </xf>
    <xf numFmtId="10" fontId="5" fillId="5" borderId="25" xfId="0" applyNumberFormat="1" applyFont="1" applyFill="1" applyBorder="1" applyAlignment="1">
      <alignment horizontal="center"/>
    </xf>
    <xf numFmtId="0" fontId="4" fillId="2" borderId="1" xfId="0" applyFont="1" applyFill="1" applyBorder="1" applyProtection="1">
      <protection locked="0"/>
    </xf>
    <xf numFmtId="0" fontId="4" fillId="2" borderId="1" xfId="0" applyFont="1" applyFill="1" applyBorder="1"/>
    <xf numFmtId="0" fontId="5" fillId="2" borderId="2" xfId="0" applyFont="1" applyFill="1" applyBorder="1" applyProtection="1">
      <protection locked="0"/>
    </xf>
    <xf numFmtId="0" fontId="4" fillId="2" borderId="2" xfId="0" applyFont="1" applyFill="1" applyBorder="1"/>
    <xf numFmtId="0" fontId="4" fillId="2" borderId="31" xfId="0" applyFont="1" applyFill="1" applyBorder="1" applyAlignment="1">
      <alignment horizontal="right"/>
    </xf>
    <xf numFmtId="0" fontId="4" fillId="2" borderId="32" xfId="0" applyFont="1" applyFill="1" applyBorder="1" applyAlignment="1">
      <alignment horizontal="center"/>
    </xf>
    <xf numFmtId="1" fontId="5" fillId="4" borderId="33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right"/>
    </xf>
    <xf numFmtId="0" fontId="5" fillId="3" borderId="35" xfId="0" applyFont="1" applyFill="1" applyBorder="1" applyAlignment="1" applyProtection="1">
      <alignment horizontal="center"/>
      <protection locked="0"/>
    </xf>
    <xf numFmtId="0" fontId="4" fillId="2" borderId="26" xfId="0" applyFont="1" applyFill="1" applyBorder="1" applyAlignment="1">
      <alignment horizontal="right"/>
    </xf>
    <xf numFmtId="2" fontId="4" fillId="4" borderId="36" xfId="0" applyNumberFormat="1" applyFont="1" applyFill="1" applyBorder="1" applyAlignment="1">
      <alignment horizontal="center"/>
    </xf>
    <xf numFmtId="2" fontId="4" fillId="5" borderId="36" xfId="0" applyNumberFormat="1" applyFont="1" applyFill="1" applyBorder="1" applyAlignment="1">
      <alignment horizontal="center"/>
    </xf>
    <xf numFmtId="0" fontId="5" fillId="3" borderId="36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>
      <alignment horizontal="right"/>
    </xf>
    <xf numFmtId="2" fontId="4" fillId="4" borderId="3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10" fillId="2" borderId="14" xfId="0" applyFont="1" applyFill="1" applyBorder="1" applyAlignment="1">
      <alignment horizontal="left" vertical="center" wrapText="1"/>
    </xf>
    <xf numFmtId="0" fontId="10" fillId="2" borderId="43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 vertical="center" wrapText="1"/>
    </xf>
    <xf numFmtId="0" fontId="10" fillId="2" borderId="21" xfId="0" applyFont="1" applyFill="1" applyBorder="1" applyAlignment="1">
      <alignment horizontal="left" vertical="center" wrapText="1"/>
    </xf>
    <xf numFmtId="0" fontId="5" fillId="2" borderId="4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2" fontId="4" fillId="3" borderId="16" xfId="0" applyNumberFormat="1" applyFont="1" applyFill="1" applyBorder="1" applyAlignment="1" applyProtection="1">
      <alignment horizontal="center" vertical="center"/>
      <protection locked="0"/>
    </xf>
    <xf numFmtId="2" fontId="4" fillId="3" borderId="17" xfId="0" applyNumberFormat="1" applyFont="1" applyFill="1" applyBorder="1" applyAlignment="1" applyProtection="1">
      <alignment horizontal="center" vertical="center"/>
      <protection locked="0"/>
    </xf>
    <xf numFmtId="2" fontId="4" fillId="3" borderId="18" xfId="0" applyNumberFormat="1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>
      <alignment horizontal="left" vertical="center" wrapText="1"/>
    </xf>
    <xf numFmtId="0" fontId="10" fillId="2" borderId="32" xfId="0" applyFont="1" applyFill="1" applyBorder="1" applyAlignment="1">
      <alignment horizontal="left" vertical="center" wrapText="1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10" fillId="2" borderId="38" xfId="0" applyFont="1" applyFill="1" applyBorder="1" applyAlignment="1">
      <alignment horizontal="justify" vertical="center" wrapText="1"/>
    </xf>
    <xf numFmtId="0" fontId="10" fillId="2" borderId="39" xfId="0" applyFont="1" applyFill="1" applyBorder="1" applyAlignment="1">
      <alignment horizontal="justify" vertical="center" wrapText="1"/>
    </xf>
    <xf numFmtId="0" fontId="10" fillId="2" borderId="40" xfId="0" applyFont="1" applyFill="1" applyBorder="1" applyAlignment="1">
      <alignment horizontal="justify" vertical="center" wrapText="1"/>
    </xf>
    <xf numFmtId="0" fontId="5" fillId="2" borderId="41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left" vertical="center" wrapText="1"/>
    </xf>
    <xf numFmtId="0" fontId="10" fillId="2" borderId="39" xfId="0" applyFont="1" applyFill="1" applyBorder="1" applyAlignment="1">
      <alignment horizontal="left" vertical="center" wrapText="1"/>
    </xf>
    <xf numFmtId="0" fontId="10" fillId="2" borderId="40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21" sqref="D21"/>
    </sheetView>
  </sheetViews>
  <sheetFormatPr defaultRowHeight="13.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3" t="s">
        <v>0</v>
      </c>
      <c r="B1" s="4" t="s">
        <v>1</v>
      </c>
      <c r="C1" s="3" t="s">
        <v>2</v>
      </c>
      <c r="D1" s="14"/>
      <c r="E1" s="3"/>
      <c r="F1" s="4"/>
      <c r="G1" s="3"/>
      <c r="H1" s="14"/>
      <c r="I1" s="3"/>
      <c r="J1" s="4"/>
      <c r="K1" s="3"/>
      <c r="L1" s="14"/>
      <c r="M1" s="3"/>
      <c r="N1" s="4"/>
      <c r="O1" s="3"/>
      <c r="P1" s="4"/>
    </row>
    <row r="2" spans="1:16" ht="15.75" customHeight="1" x14ac:dyDescent="0.25">
      <c r="A2" s="15">
        <v>750</v>
      </c>
      <c r="B2" s="16">
        <v>63</v>
      </c>
      <c r="C2" s="5">
        <f t="shared" ref="C2:C21" si="0">A2-B2</f>
        <v>687</v>
      </c>
      <c r="D2" s="6">
        <f t="shared" ref="D2:D21" si="1">(C2-$C$24)/$C$24</f>
        <v>2.99070577984316</v>
      </c>
      <c r="E2" s="5"/>
      <c r="F2" s="4"/>
      <c r="G2" s="5"/>
      <c r="H2" s="17"/>
      <c r="I2" s="5"/>
      <c r="J2" s="4"/>
      <c r="K2" s="5"/>
      <c r="L2" s="14"/>
      <c r="M2" s="5"/>
      <c r="N2" s="14"/>
      <c r="O2" s="5"/>
      <c r="P2" s="14"/>
    </row>
    <row r="3" spans="1:16" ht="15.75" customHeight="1" x14ac:dyDescent="0.25">
      <c r="A3" s="15">
        <v>760</v>
      </c>
      <c r="B3" s="16">
        <v>65</v>
      </c>
      <c r="C3" s="5">
        <f t="shared" si="0"/>
        <v>695</v>
      </c>
      <c r="D3" s="6">
        <f t="shared" si="1"/>
        <v>3.03717688062736</v>
      </c>
      <c r="E3" s="5"/>
      <c r="F3" s="4"/>
      <c r="G3" s="5"/>
      <c r="H3" s="17"/>
      <c r="I3" s="5"/>
      <c r="J3" s="4"/>
      <c r="K3" s="5"/>
      <c r="L3" s="14"/>
      <c r="M3" s="5"/>
      <c r="N3" s="14"/>
      <c r="O3" s="5"/>
      <c r="P3" s="14"/>
    </row>
    <row r="4" spans="1:16" ht="15.75" customHeight="1" x14ac:dyDescent="0.25">
      <c r="A4" s="15">
        <v>750</v>
      </c>
      <c r="B4" s="16">
        <v>67</v>
      </c>
      <c r="C4" s="5">
        <f t="shared" si="0"/>
        <v>683</v>
      </c>
      <c r="D4" s="6">
        <f t="shared" si="1"/>
        <v>2.96747022945106</v>
      </c>
      <c r="E4" s="5"/>
      <c r="F4" s="4"/>
      <c r="G4" s="5"/>
      <c r="H4" s="17"/>
      <c r="I4" s="5"/>
      <c r="J4" s="4"/>
      <c r="K4" s="5"/>
      <c r="L4" s="14"/>
      <c r="M4" s="5"/>
      <c r="N4" s="14"/>
      <c r="O4" s="5"/>
      <c r="P4" s="14"/>
    </row>
    <row r="5" spans="1:16" ht="15.75" customHeight="1" x14ac:dyDescent="0.25">
      <c r="A5" s="15">
        <v>740</v>
      </c>
      <c r="B5" s="16">
        <v>62</v>
      </c>
      <c r="C5" s="5">
        <f t="shared" si="0"/>
        <v>678</v>
      </c>
      <c r="D5" s="6">
        <f t="shared" si="1"/>
        <v>2.9384257914609351</v>
      </c>
      <c r="E5" s="5"/>
      <c r="F5" s="4"/>
      <c r="G5" s="5"/>
      <c r="H5" s="17"/>
      <c r="I5" s="5"/>
      <c r="J5" s="4"/>
      <c r="K5" s="5"/>
      <c r="L5" s="14"/>
      <c r="M5" s="5"/>
      <c r="N5" s="14"/>
      <c r="O5" s="5"/>
      <c r="P5" s="14"/>
    </row>
    <row r="6" spans="1:16" ht="15.75" customHeight="1" x14ac:dyDescent="0.25">
      <c r="A6" s="15">
        <v>763</v>
      </c>
      <c r="B6" s="16">
        <v>63</v>
      </c>
      <c r="C6" s="5">
        <f t="shared" si="0"/>
        <v>700</v>
      </c>
      <c r="D6" s="6">
        <f t="shared" si="1"/>
        <v>3.0662213186174849</v>
      </c>
      <c r="E6" s="5"/>
      <c r="F6" s="4"/>
      <c r="G6" s="5"/>
      <c r="H6" s="17"/>
      <c r="I6" s="5"/>
      <c r="J6" s="4"/>
      <c r="K6" s="5"/>
      <c r="L6" s="14"/>
      <c r="M6" s="5"/>
      <c r="N6" s="14"/>
      <c r="O6" s="5"/>
      <c r="P6" s="14"/>
    </row>
    <row r="7" spans="1:16" ht="15.75" customHeight="1" x14ac:dyDescent="0.25">
      <c r="A7" s="15"/>
      <c r="B7" s="16"/>
      <c r="C7" s="5">
        <f t="shared" si="0"/>
        <v>0</v>
      </c>
      <c r="D7" s="6">
        <f t="shared" si="1"/>
        <v>-1</v>
      </c>
      <c r="E7" s="5"/>
      <c r="F7" s="4"/>
      <c r="G7" s="5"/>
      <c r="H7" s="17"/>
      <c r="I7" s="5"/>
      <c r="J7" s="4"/>
      <c r="K7" s="5"/>
      <c r="L7" s="14"/>
      <c r="M7" s="5"/>
      <c r="N7" s="14"/>
      <c r="O7" s="5"/>
      <c r="P7" s="14"/>
    </row>
    <row r="8" spans="1:16" ht="15.75" customHeight="1" x14ac:dyDescent="0.25">
      <c r="A8" s="15"/>
      <c r="B8" s="16"/>
      <c r="C8" s="5">
        <f t="shared" si="0"/>
        <v>0</v>
      </c>
      <c r="D8" s="6">
        <f t="shared" si="1"/>
        <v>-1</v>
      </c>
      <c r="E8" s="5"/>
      <c r="F8" s="4"/>
      <c r="G8" s="5"/>
      <c r="H8" s="17"/>
      <c r="I8" s="5"/>
      <c r="J8" s="4"/>
      <c r="K8" s="5"/>
      <c r="L8" s="14"/>
      <c r="M8" s="5"/>
      <c r="N8" s="14"/>
      <c r="O8" s="5"/>
      <c r="P8" s="14"/>
    </row>
    <row r="9" spans="1:16" ht="15.75" customHeight="1" x14ac:dyDescent="0.25">
      <c r="A9" s="15"/>
      <c r="B9" s="16"/>
      <c r="C9" s="5">
        <f t="shared" si="0"/>
        <v>0</v>
      </c>
      <c r="D9" s="6">
        <f t="shared" si="1"/>
        <v>-1</v>
      </c>
      <c r="E9" s="5"/>
      <c r="F9" s="4"/>
      <c r="G9" s="5"/>
      <c r="H9" s="17"/>
      <c r="I9" s="5"/>
      <c r="J9" s="4"/>
      <c r="K9" s="5"/>
      <c r="L9" s="14"/>
      <c r="M9" s="5"/>
      <c r="N9" s="14"/>
      <c r="O9" s="5"/>
      <c r="P9" s="14"/>
    </row>
    <row r="10" spans="1:16" ht="15.75" customHeight="1" x14ac:dyDescent="0.25">
      <c r="A10" s="15"/>
      <c r="B10" s="16"/>
      <c r="C10" s="5">
        <f t="shared" si="0"/>
        <v>0</v>
      </c>
      <c r="D10" s="6">
        <f t="shared" si="1"/>
        <v>-1</v>
      </c>
      <c r="E10" s="5"/>
      <c r="F10" s="4"/>
      <c r="G10" s="5"/>
      <c r="H10" s="17"/>
      <c r="I10" s="5"/>
      <c r="J10" s="4"/>
      <c r="K10" s="5"/>
      <c r="L10" s="14"/>
      <c r="M10" s="5"/>
      <c r="N10" s="14"/>
      <c r="O10" s="5"/>
      <c r="P10" s="14"/>
    </row>
    <row r="11" spans="1:16" ht="15.75" customHeight="1" x14ac:dyDescent="0.25">
      <c r="A11" s="18"/>
      <c r="B11" s="16"/>
      <c r="C11" s="5">
        <f t="shared" si="0"/>
        <v>0</v>
      </c>
      <c r="D11" s="6">
        <f t="shared" si="1"/>
        <v>-1</v>
      </c>
      <c r="E11" s="19"/>
      <c r="F11" s="4"/>
      <c r="G11" s="5"/>
      <c r="H11" s="17"/>
      <c r="I11" s="19"/>
      <c r="J11" s="4"/>
      <c r="K11" s="5"/>
      <c r="L11" s="14"/>
      <c r="M11" s="19"/>
      <c r="N11" s="14"/>
      <c r="O11" s="19"/>
      <c r="P11" s="14"/>
    </row>
    <row r="12" spans="1:16" ht="15.75" customHeight="1" x14ac:dyDescent="0.25">
      <c r="A12" s="18"/>
      <c r="B12" s="16"/>
      <c r="C12" s="5">
        <f t="shared" si="0"/>
        <v>0</v>
      </c>
      <c r="D12" s="6">
        <f t="shared" si="1"/>
        <v>-1</v>
      </c>
      <c r="E12" s="19"/>
      <c r="F12" s="4"/>
      <c r="G12" s="5"/>
      <c r="H12" s="17"/>
      <c r="I12" s="19"/>
      <c r="J12" s="4"/>
      <c r="K12" s="5"/>
      <c r="L12" s="14"/>
      <c r="M12" s="19"/>
      <c r="N12" s="14"/>
      <c r="O12" s="19"/>
      <c r="P12" s="14"/>
    </row>
    <row r="13" spans="1:16" ht="15.75" customHeight="1" x14ac:dyDescent="0.25">
      <c r="A13" s="18"/>
      <c r="B13" s="16"/>
      <c r="C13" s="5">
        <f t="shared" si="0"/>
        <v>0</v>
      </c>
      <c r="D13" s="6">
        <f t="shared" si="1"/>
        <v>-1</v>
      </c>
      <c r="E13" s="19"/>
      <c r="F13" s="4"/>
      <c r="G13" s="5"/>
      <c r="H13" s="17"/>
      <c r="I13" s="19"/>
      <c r="J13" s="4"/>
      <c r="K13" s="5"/>
      <c r="L13" s="14"/>
      <c r="M13" s="19"/>
      <c r="N13" s="14"/>
      <c r="O13" s="19"/>
      <c r="P13" s="14"/>
    </row>
    <row r="14" spans="1:16" ht="15.75" customHeight="1" x14ac:dyDescent="0.25">
      <c r="A14" s="18"/>
      <c r="B14" s="16"/>
      <c r="C14" s="5">
        <f t="shared" si="0"/>
        <v>0</v>
      </c>
      <c r="D14" s="6">
        <f t="shared" si="1"/>
        <v>-1</v>
      </c>
      <c r="E14" s="19"/>
      <c r="F14" s="4"/>
      <c r="G14" s="5"/>
      <c r="H14" s="17"/>
      <c r="I14" s="19"/>
      <c r="J14" s="4"/>
      <c r="K14" s="5"/>
      <c r="L14" s="14"/>
      <c r="M14" s="19"/>
      <c r="N14" s="14"/>
      <c r="O14" s="19"/>
      <c r="P14" s="14"/>
    </row>
    <row r="15" spans="1:16" ht="15.75" customHeight="1" x14ac:dyDescent="0.25">
      <c r="A15" s="18"/>
      <c r="B15" s="16"/>
      <c r="C15" s="5">
        <f t="shared" si="0"/>
        <v>0</v>
      </c>
      <c r="D15" s="6">
        <f t="shared" si="1"/>
        <v>-1</v>
      </c>
      <c r="E15" s="19"/>
      <c r="F15" s="4"/>
      <c r="G15" s="5"/>
      <c r="H15" s="17"/>
      <c r="I15" s="19"/>
      <c r="J15" s="4"/>
      <c r="K15" s="5"/>
      <c r="L15" s="14"/>
      <c r="M15" s="19"/>
      <c r="N15" s="14"/>
      <c r="O15" s="19"/>
      <c r="P15" s="14"/>
    </row>
    <row r="16" spans="1:16" ht="15.75" customHeight="1" x14ac:dyDescent="0.25">
      <c r="A16" s="18"/>
      <c r="B16" s="16"/>
      <c r="C16" s="5">
        <f t="shared" si="0"/>
        <v>0</v>
      </c>
      <c r="D16" s="6">
        <f t="shared" si="1"/>
        <v>-1</v>
      </c>
      <c r="E16" s="19"/>
      <c r="F16" s="4"/>
      <c r="G16" s="5"/>
      <c r="H16" s="17"/>
      <c r="I16" s="19"/>
      <c r="J16" s="4"/>
      <c r="K16" s="5"/>
      <c r="L16" s="14"/>
      <c r="M16" s="19"/>
      <c r="N16" s="14"/>
      <c r="O16" s="19"/>
      <c r="P16" s="14"/>
    </row>
    <row r="17" spans="1:16" ht="15.75" customHeight="1" x14ac:dyDescent="0.25">
      <c r="A17" s="18"/>
      <c r="B17" s="16"/>
      <c r="C17" s="5">
        <f t="shared" si="0"/>
        <v>0</v>
      </c>
      <c r="D17" s="6">
        <f t="shared" si="1"/>
        <v>-1</v>
      </c>
      <c r="E17" s="19"/>
      <c r="F17" s="4"/>
      <c r="G17" s="5"/>
      <c r="H17" s="17"/>
      <c r="I17" s="19"/>
      <c r="J17" s="4"/>
      <c r="K17" s="5"/>
      <c r="L17" s="14"/>
      <c r="M17" s="19"/>
      <c r="N17" s="14"/>
      <c r="O17" s="19"/>
      <c r="P17" s="14"/>
    </row>
    <row r="18" spans="1:16" ht="15.75" customHeight="1" x14ac:dyDescent="0.25">
      <c r="A18" s="18"/>
      <c r="B18" s="16"/>
      <c r="C18" s="5">
        <f t="shared" si="0"/>
        <v>0</v>
      </c>
      <c r="D18" s="6">
        <f t="shared" si="1"/>
        <v>-1</v>
      </c>
      <c r="E18" s="19"/>
      <c r="F18" s="4"/>
      <c r="G18" s="5"/>
      <c r="H18" s="17"/>
      <c r="I18" s="19"/>
      <c r="J18" s="4"/>
      <c r="K18" s="5"/>
      <c r="L18" s="14"/>
      <c r="M18" s="19"/>
      <c r="N18" s="14"/>
      <c r="O18" s="19"/>
      <c r="P18" s="14"/>
    </row>
    <row r="19" spans="1:16" ht="15.75" customHeight="1" x14ac:dyDescent="0.25">
      <c r="A19" s="18"/>
      <c r="B19" s="16"/>
      <c r="C19" s="5">
        <f t="shared" si="0"/>
        <v>0</v>
      </c>
      <c r="D19" s="6">
        <f t="shared" si="1"/>
        <v>-1</v>
      </c>
      <c r="E19" s="19"/>
      <c r="F19" s="4"/>
      <c r="G19" s="5"/>
      <c r="H19" s="17"/>
      <c r="I19" s="19"/>
      <c r="J19" s="4"/>
      <c r="K19" s="5"/>
      <c r="L19" s="14"/>
      <c r="M19" s="19"/>
      <c r="N19" s="14"/>
      <c r="O19" s="19"/>
      <c r="P19" s="14"/>
    </row>
    <row r="20" spans="1:16" ht="15.75" customHeight="1" x14ac:dyDescent="0.25">
      <c r="A20" s="18"/>
      <c r="B20" s="16"/>
      <c r="C20" s="5">
        <f t="shared" si="0"/>
        <v>0</v>
      </c>
      <c r="D20" s="6">
        <f t="shared" si="1"/>
        <v>-1</v>
      </c>
      <c r="E20" s="19"/>
      <c r="F20" s="4"/>
      <c r="G20" s="5"/>
      <c r="H20" s="17"/>
      <c r="I20" s="19"/>
      <c r="J20" s="4"/>
      <c r="K20" s="5"/>
      <c r="L20" s="14"/>
      <c r="M20" s="19"/>
      <c r="N20" s="14"/>
      <c r="O20" s="19"/>
      <c r="P20" s="14"/>
    </row>
    <row r="21" spans="1:16" ht="15.75" customHeight="1" x14ac:dyDescent="0.25">
      <c r="A21" s="18"/>
      <c r="B21" s="16"/>
      <c r="C21" s="5">
        <f t="shared" si="0"/>
        <v>0</v>
      </c>
      <c r="D21" s="6">
        <f t="shared" si="1"/>
        <v>-1</v>
      </c>
      <c r="E21" s="19"/>
      <c r="F21" s="4"/>
      <c r="G21" s="5"/>
      <c r="H21" s="17"/>
      <c r="I21" s="19"/>
      <c r="J21" s="4"/>
      <c r="K21" s="5"/>
      <c r="L21" s="14"/>
      <c r="M21" s="19"/>
      <c r="N21" s="14"/>
      <c r="O21" s="19"/>
      <c r="P21" s="14"/>
    </row>
    <row r="22" spans="1:16" x14ac:dyDescent="0.25">
      <c r="A22" s="7"/>
      <c r="B22" s="7"/>
      <c r="C22" s="7"/>
      <c r="D22" s="14"/>
      <c r="E22" s="7"/>
      <c r="F22" s="7"/>
      <c r="G22" s="7"/>
      <c r="H22" s="14"/>
      <c r="I22" s="7"/>
      <c r="J22" s="7"/>
      <c r="K22" s="7"/>
      <c r="L22" s="14"/>
      <c r="M22" s="7"/>
      <c r="N22" s="8"/>
      <c r="O22" s="7"/>
      <c r="P22" s="8"/>
    </row>
    <row r="23" spans="1:16" x14ac:dyDescent="0.25">
      <c r="A23" s="7">
        <f>SUM(A2:A21)</f>
        <v>3763</v>
      </c>
      <c r="B23" s="7">
        <f>SUM(B2:B21)</f>
        <v>320</v>
      </c>
      <c r="C23" s="7">
        <f>SUM(C2:C21)</f>
        <v>3443</v>
      </c>
      <c r="D23" s="14"/>
      <c r="E23" s="7"/>
      <c r="F23" s="7"/>
      <c r="G23" s="7"/>
      <c r="H23" s="14"/>
      <c r="I23" s="7"/>
      <c r="J23" s="7"/>
      <c r="K23" s="7"/>
      <c r="L23" s="14"/>
      <c r="M23" s="7"/>
      <c r="N23" s="7"/>
      <c r="O23" s="7"/>
      <c r="P23" s="7"/>
    </row>
    <row r="24" spans="1:16" ht="12.75" customHeight="1" x14ac:dyDescent="0.2">
      <c r="A24" s="9">
        <f>AVERAGE(A2:A21)</f>
        <v>752.6</v>
      </c>
      <c r="B24" s="9">
        <f>AVERAGE(B2:B21)</f>
        <v>64</v>
      </c>
      <c r="C24" s="9">
        <f>AVERAGE(C2:C21)</f>
        <v>172.15</v>
      </c>
      <c r="D24" s="20"/>
      <c r="E24" s="9"/>
      <c r="F24" s="9"/>
      <c r="G24" s="9"/>
      <c r="H24" s="20"/>
      <c r="I24" s="9"/>
      <c r="J24" s="9"/>
      <c r="K24" s="9"/>
      <c r="L24" s="20"/>
      <c r="M24" s="9"/>
      <c r="N24" s="9"/>
      <c r="O24" s="10"/>
      <c r="P24" s="9"/>
    </row>
    <row r="25" spans="1:16" ht="12.75" customHeight="1" x14ac:dyDescent="0.2">
      <c r="A25" s="21">
        <f>A24*0.95</f>
        <v>714.97</v>
      </c>
      <c r="B25" s="21">
        <f>B24*0.95</f>
        <v>60.8</v>
      </c>
      <c r="C25" s="11">
        <f>IF(C24&lt;300, C24*0.9, C24*0.925)</f>
        <v>154.935</v>
      </c>
      <c r="E25" s="21"/>
      <c r="F25" s="21"/>
      <c r="G25" s="12"/>
      <c r="H25" s="22"/>
      <c r="I25" s="21"/>
      <c r="J25" s="21"/>
      <c r="K25" s="12"/>
      <c r="L25" s="22"/>
      <c r="M25" s="13"/>
      <c r="N25" s="21"/>
      <c r="O25" s="13"/>
      <c r="P25" s="21"/>
    </row>
    <row r="26" spans="1:16" ht="12.75" customHeight="1" x14ac:dyDescent="0.2">
      <c r="A26" s="2">
        <f>A24*1.05</f>
        <v>790.23</v>
      </c>
      <c r="B26" s="2">
        <f>B24*1.05</f>
        <v>67.2</v>
      </c>
      <c r="C26" s="11">
        <f>IF(C24&lt;300, C24*1.1, C24*1.075)</f>
        <v>189.36500000000001</v>
      </c>
      <c r="G26" s="12"/>
      <c r="H26" s="22"/>
      <c r="K26" s="12"/>
      <c r="L26" s="22"/>
      <c r="M26" s="13"/>
      <c r="O26" s="13"/>
    </row>
    <row r="27" spans="1:16" x14ac:dyDescent="0.25">
      <c r="G27" s="23"/>
      <c r="I27" s="23"/>
    </row>
    <row r="31" spans="1:16" x14ac:dyDescent="0.25">
      <c r="A31" s="24"/>
      <c r="C31" s="24"/>
      <c r="F31" s="24"/>
      <c r="H31" s="24"/>
    </row>
    <row r="32" spans="1:16" x14ac:dyDescent="0.25">
      <c r="F32" s="5"/>
      <c r="G32" s="5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19" priority="1" operator="notBetween">
      <formula>IF(+$A$24&lt;300, -10.5%, -7.5%)</formula>
      <formula>IF(+$A$24&lt;300, 10.5%, 7.5%)</formula>
    </cfRule>
  </conditionalFormatting>
  <conditionalFormatting sqref="D3">
    <cfRule type="cellIs" dxfId="18" priority="2" operator="notBetween">
      <formula>IF(+$A$24&lt;300, -10.5%, -7.5%)</formula>
      <formula>IF(+$A$24&lt;300, 10.5%, 7.5%)</formula>
    </cfRule>
  </conditionalFormatting>
  <conditionalFormatting sqref="D4">
    <cfRule type="cellIs" dxfId="17" priority="3" operator="notBetween">
      <formula>IF(+$A$24&lt;300, -10.5%, -7.5%)</formula>
      <formula>IF(+$A$24&lt;300, 10.5%, 7.5%)</formula>
    </cfRule>
  </conditionalFormatting>
  <conditionalFormatting sqref="D5">
    <cfRule type="cellIs" dxfId="16" priority="4" operator="notBetween">
      <formula>IF(+$A$24&lt;300, -10.5%, -7.5%)</formula>
      <formula>IF(+$A$24&lt;300, 10.5%, 7.5%)</formula>
    </cfRule>
  </conditionalFormatting>
  <conditionalFormatting sqref="D6">
    <cfRule type="cellIs" dxfId="15" priority="5" operator="notBetween">
      <formula>IF(+$A$24&lt;300, -10.5%, -7.5%)</formula>
      <formula>IF(+$A$24&lt;300, 10.5%, 7.5%)</formula>
    </cfRule>
  </conditionalFormatting>
  <conditionalFormatting sqref="D7">
    <cfRule type="cellIs" dxfId="14" priority="6" operator="notBetween">
      <formula>IF(+$A$24&lt;300, -10.5%, -7.5%)</formula>
      <formula>IF(+$A$24&lt;300, 10.5%, 7.5%)</formula>
    </cfRule>
  </conditionalFormatting>
  <conditionalFormatting sqref="D8">
    <cfRule type="cellIs" dxfId="13" priority="7" operator="notBetween">
      <formula>IF(+$A$24&lt;300, -10.5%, -7.5%)</formula>
      <formula>IF(+$A$24&lt;300, 10.5%, 7.5%)</formula>
    </cfRule>
  </conditionalFormatting>
  <conditionalFormatting sqref="D9">
    <cfRule type="cellIs" dxfId="12" priority="8" operator="notBetween">
      <formula>IF(+$A$24&lt;300, -10.5%, -7.5%)</formula>
      <formula>IF(+$A$24&lt;300, 10.5%, 7.5%)</formula>
    </cfRule>
  </conditionalFormatting>
  <conditionalFormatting sqref="D10">
    <cfRule type="cellIs" dxfId="11" priority="9" operator="notBetween">
      <formula>IF(+$A$24&lt;300, -10.5%, -7.5%)</formula>
      <formula>IF(+$A$24&lt;300, 10.5%, 7.5%)</formula>
    </cfRule>
  </conditionalFormatting>
  <conditionalFormatting sqref="D11">
    <cfRule type="cellIs" dxfId="10" priority="10" operator="notBetween">
      <formula>IF(+$A$24&lt;300, -10.5%, -7.5%)</formula>
      <formula>IF(+$A$24&lt;300, 10.5%, 7.5%)</formula>
    </cfRule>
  </conditionalFormatting>
  <conditionalFormatting sqref="D12">
    <cfRule type="cellIs" dxfId="9" priority="11" operator="notBetween">
      <formula>IF(+$A$24&lt;300, -10.5%, -7.5%)</formula>
      <formula>IF(+$A$24&lt;300, 10.5%, 7.5%)</formula>
    </cfRule>
  </conditionalFormatting>
  <conditionalFormatting sqref="D13">
    <cfRule type="cellIs" dxfId="8" priority="12" operator="notBetween">
      <formula>IF(+$A$24&lt;300, -10.5%, -7.5%)</formula>
      <formula>IF(+$A$24&lt;300, 10.5%, 7.5%)</formula>
    </cfRule>
  </conditionalFormatting>
  <conditionalFormatting sqref="D14">
    <cfRule type="cellIs" dxfId="7" priority="13" operator="notBetween">
      <formula>IF(+$A$24&lt;300, -10.5%, -7.5%)</formula>
      <formula>IF(+$A$24&lt;300, 10.5%, 7.5%)</formula>
    </cfRule>
  </conditionalFormatting>
  <conditionalFormatting sqref="D15">
    <cfRule type="cellIs" dxfId="6" priority="14" operator="notBetween">
      <formula>IF(+$A$24&lt;300, -10.5%, -7.5%)</formula>
      <formula>IF(+$A$24&lt;300, 10.5%, 7.5%)</formula>
    </cfRule>
  </conditionalFormatting>
  <conditionalFormatting sqref="D16">
    <cfRule type="cellIs" dxfId="5" priority="15" operator="notBetween">
      <formula>IF(+$A$24&lt;300, -10.5%, -7.5%)</formula>
      <formula>IF(+$A$24&lt;300, 10.5%, 7.5%)</formula>
    </cfRule>
  </conditionalFormatting>
  <conditionalFormatting sqref="D17">
    <cfRule type="cellIs" dxfId="4" priority="16" operator="notBetween">
      <formula>IF(+$A$24&lt;300, -10.5%, -7.5%)</formula>
      <formula>IF(+$A$24&lt;300, 10.5%, 7.5%)</formula>
    </cfRule>
  </conditionalFormatting>
  <conditionalFormatting sqref="D18">
    <cfRule type="cellIs" dxfId="3" priority="17" operator="notBetween">
      <formula>IF(+$A$24&lt;300, -10.5%, -7.5%)</formula>
      <formula>IF(+$A$24&lt;300, 10.5%, 7.5%)</formula>
    </cfRule>
  </conditionalFormatting>
  <conditionalFormatting sqref="D19">
    <cfRule type="cellIs" dxfId="2" priority="18" operator="notBetween">
      <formula>IF(+$A$24&lt;300, -10.5%, -7.5%)</formula>
      <formula>IF(+$A$24&lt;300, 10.5%, 7.5%)</formula>
    </cfRule>
  </conditionalFormatting>
  <conditionalFormatting sqref="D20">
    <cfRule type="cellIs" dxfId="1" priority="19" operator="notBetween">
      <formula>IF(+$A$24&lt;300, -10.5%, -7.5%)</formula>
      <formula>IF(+$A$24&lt;300, 10.5%, 7.5%)</formula>
    </cfRule>
  </conditionalFormatting>
  <conditionalFormatting sqref="D21">
    <cfRule type="cellIs" dxfId="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88"/>
  <sheetViews>
    <sheetView tabSelected="1" view="pageBreakPreview" zoomScale="70" zoomScaleNormal="75" workbookViewId="0">
      <selection activeCell="D59" sqref="D59:D62"/>
    </sheetView>
  </sheetViews>
  <sheetFormatPr defaultRowHeight="18.75" x14ac:dyDescent="0.3"/>
  <cols>
    <col min="1" max="1" width="52.7109375" style="27" customWidth="1"/>
    <col min="2" max="2" width="22.140625" style="27" customWidth="1"/>
    <col min="3" max="3" width="38.42578125" style="27" customWidth="1"/>
    <col min="4" max="4" width="23.140625" style="27" customWidth="1"/>
    <col min="5" max="5" width="26" style="27" customWidth="1"/>
    <col min="6" max="6" width="25.42578125" style="27" customWidth="1"/>
    <col min="7" max="7" width="28.140625" style="27" customWidth="1"/>
    <col min="8" max="8" width="30.42578125" style="27" customWidth="1"/>
    <col min="9" max="9" width="22.28515625" style="27" customWidth="1"/>
    <col min="10" max="10" width="9.140625" style="27" customWidth="1"/>
  </cols>
  <sheetData>
    <row r="17" spans="1:12" x14ac:dyDescent="0.3">
      <c r="A17" s="52" t="s">
        <v>3</v>
      </c>
      <c r="B17" s="52"/>
    </row>
    <row r="18" spans="1:12" x14ac:dyDescent="0.3">
      <c r="A18" s="98" t="s">
        <v>4</v>
      </c>
      <c r="B18" s="152" t="s">
        <v>5</v>
      </c>
      <c r="C18" s="152"/>
    </row>
    <row r="19" spans="1:12" x14ac:dyDescent="0.3">
      <c r="A19" s="98" t="s">
        <v>6</v>
      </c>
      <c r="B19" s="94" t="s">
        <v>7</v>
      </c>
      <c r="C19" s="96"/>
    </row>
    <row r="20" spans="1:12" x14ac:dyDescent="0.3">
      <c r="A20" s="98" t="s">
        <v>8</v>
      </c>
      <c r="B20" s="94" t="s">
        <v>9</v>
      </c>
      <c r="C20" s="96"/>
    </row>
    <row r="21" spans="1:12" x14ac:dyDescent="0.3">
      <c r="A21" s="98" t="s">
        <v>10</v>
      </c>
      <c r="B21" s="153" t="s">
        <v>11</v>
      </c>
      <c r="C21" s="153"/>
    </row>
    <row r="22" spans="1:12" x14ac:dyDescent="0.3">
      <c r="A22" s="98" t="s">
        <v>12</v>
      </c>
      <c r="B22" s="97" t="s">
        <v>13</v>
      </c>
      <c r="C22" s="96"/>
    </row>
    <row r="23" spans="1:12" x14ac:dyDescent="0.3">
      <c r="A23" s="98" t="s">
        <v>14</v>
      </c>
      <c r="B23" s="95"/>
      <c r="C23" s="96"/>
    </row>
    <row r="24" spans="1:12" x14ac:dyDescent="0.3">
      <c r="A24" s="98"/>
      <c r="B24" s="99"/>
    </row>
    <row r="25" spans="1:12" x14ac:dyDescent="0.3">
      <c r="A25" s="100" t="s">
        <v>15</v>
      </c>
      <c r="B25" s="99"/>
    </row>
    <row r="26" spans="1:12" x14ac:dyDescent="0.3">
      <c r="A26" s="49" t="s">
        <v>16</v>
      </c>
      <c r="B26" s="80" t="s">
        <v>17</v>
      </c>
    </row>
    <row r="27" spans="1:12" x14ac:dyDescent="0.3">
      <c r="A27" s="50" t="s">
        <v>18</v>
      </c>
      <c r="B27" s="81" t="s">
        <v>19</v>
      </c>
    </row>
    <row r="28" spans="1:12" ht="19.5" customHeight="1" x14ac:dyDescent="0.3">
      <c r="A28" s="50" t="s">
        <v>20</v>
      </c>
      <c r="B28" s="82">
        <v>93.88</v>
      </c>
    </row>
    <row r="29" spans="1:12" s="23" customFormat="1" ht="15.75" customHeight="1" x14ac:dyDescent="0.3">
      <c r="A29" s="50" t="s">
        <v>21</v>
      </c>
      <c r="B29" s="81">
        <v>0</v>
      </c>
      <c r="C29" s="154" t="s">
        <v>22</v>
      </c>
      <c r="D29" s="155"/>
      <c r="E29" s="156"/>
      <c r="G29" s="60"/>
      <c r="H29" s="60"/>
      <c r="I29" s="60"/>
      <c r="J29" s="60"/>
    </row>
    <row r="30" spans="1:12" s="23" customFormat="1" ht="19.5" customHeight="1" x14ac:dyDescent="0.3">
      <c r="A30" s="50" t="s">
        <v>23</v>
      </c>
      <c r="B30" s="80">
        <f>B28-B29</f>
        <v>93.88</v>
      </c>
      <c r="C30" s="47"/>
      <c r="D30" s="47"/>
      <c r="E30" s="48"/>
      <c r="G30" s="60"/>
      <c r="H30" s="60"/>
      <c r="I30" s="60"/>
      <c r="J30" s="60"/>
    </row>
    <row r="31" spans="1:12" s="23" customFormat="1" ht="17.25" customHeight="1" x14ac:dyDescent="0.3">
      <c r="A31" s="50" t="s">
        <v>24</v>
      </c>
      <c r="B31" s="83">
        <v>1</v>
      </c>
      <c r="C31" s="159" t="s">
        <v>25</v>
      </c>
      <c r="D31" s="160"/>
      <c r="E31" s="160"/>
      <c r="F31" s="161"/>
      <c r="G31" s="60"/>
      <c r="H31" s="60"/>
      <c r="I31" s="60"/>
      <c r="J31" s="60"/>
    </row>
    <row r="32" spans="1:12" s="23" customFormat="1" ht="17.25" customHeight="1" x14ac:dyDescent="0.3">
      <c r="A32" s="50" t="s">
        <v>26</v>
      </c>
      <c r="B32" s="83">
        <v>1</v>
      </c>
      <c r="C32" s="159" t="s">
        <v>27</v>
      </c>
      <c r="D32" s="160"/>
      <c r="E32" s="160"/>
      <c r="F32" s="161"/>
      <c r="G32" s="60"/>
      <c r="H32" s="60"/>
      <c r="I32" s="60"/>
      <c r="J32" s="101"/>
      <c r="K32" s="101"/>
      <c r="L32" s="102"/>
    </row>
    <row r="33" spans="1:12" s="23" customFormat="1" ht="17.25" customHeight="1" x14ac:dyDescent="0.3">
      <c r="A33" s="50"/>
      <c r="B33" s="103"/>
      <c r="C33" s="61"/>
      <c r="D33" s="61"/>
      <c r="E33" s="61"/>
      <c r="F33" s="61"/>
      <c r="G33" s="60"/>
      <c r="H33" s="60"/>
      <c r="I33" s="60"/>
      <c r="J33" s="101"/>
      <c r="K33" s="101"/>
      <c r="L33" s="102"/>
    </row>
    <row r="34" spans="1:12" s="23" customFormat="1" x14ac:dyDescent="0.3">
      <c r="A34" s="50" t="s">
        <v>28</v>
      </c>
      <c r="B34" s="41">
        <f>B31/B32</f>
        <v>1</v>
      </c>
      <c r="C34" s="51" t="s">
        <v>29</v>
      </c>
      <c r="D34" s="51"/>
      <c r="E34" s="51"/>
      <c r="G34" s="60"/>
      <c r="H34" s="60"/>
      <c r="I34" s="60"/>
      <c r="J34" s="101"/>
      <c r="K34" s="101"/>
      <c r="L34" s="102"/>
    </row>
    <row r="35" spans="1:12" s="23" customFormat="1" ht="19.5" customHeight="1" x14ac:dyDescent="0.3">
      <c r="A35" s="50"/>
      <c r="B35" s="104"/>
      <c r="E35" s="51"/>
      <c r="G35" s="60"/>
      <c r="H35" s="60"/>
      <c r="I35" s="60"/>
      <c r="J35" s="101"/>
      <c r="K35" s="101"/>
      <c r="L35" s="102"/>
    </row>
    <row r="36" spans="1:12" s="23" customFormat="1" ht="15.75" customHeight="1" x14ac:dyDescent="0.3">
      <c r="A36" s="42" t="s">
        <v>30</v>
      </c>
      <c r="B36" s="111">
        <v>50</v>
      </c>
      <c r="C36" s="51"/>
      <c r="D36" s="157" t="s">
        <v>31</v>
      </c>
      <c r="E36" s="158"/>
      <c r="F36" s="157" t="s">
        <v>32</v>
      </c>
      <c r="G36" s="158"/>
      <c r="H36" s="60"/>
      <c r="I36" s="60"/>
      <c r="J36" s="101"/>
      <c r="K36" s="101"/>
      <c r="L36" s="102"/>
    </row>
    <row r="37" spans="1:12" s="23" customFormat="1" ht="15.75" customHeight="1" x14ac:dyDescent="0.3">
      <c r="A37" s="43" t="s">
        <v>33</v>
      </c>
      <c r="B37" s="112">
        <v>1</v>
      </c>
      <c r="C37" s="105" t="s">
        <v>34</v>
      </c>
      <c r="D37" s="106" t="s">
        <v>35</v>
      </c>
      <c r="E37" s="107" t="s">
        <v>36</v>
      </c>
      <c r="F37" s="106" t="s">
        <v>35</v>
      </c>
      <c r="G37" s="107" t="s">
        <v>36</v>
      </c>
      <c r="H37" s="60"/>
      <c r="I37" s="60"/>
      <c r="J37" s="101"/>
      <c r="K37" s="101"/>
      <c r="L37" s="102"/>
    </row>
    <row r="38" spans="1:12" s="23" customFormat="1" ht="21.75" customHeight="1" x14ac:dyDescent="0.3">
      <c r="A38" s="43" t="s">
        <v>37</v>
      </c>
      <c r="B38" s="112">
        <v>1</v>
      </c>
      <c r="C38" s="91">
        <v>1</v>
      </c>
      <c r="D38" s="113">
        <v>125253</v>
      </c>
      <c r="E38" s="27">
        <f>IF(ISBLANK(D38),"-",$D$48/$D$45*D38)</f>
        <v>133418.19343843206</v>
      </c>
      <c r="F38" s="116">
        <v>123454</v>
      </c>
      <c r="G38" s="32">
        <f>IF(ISBLANK(F38),"-",$D$48/$F$45*F38)</f>
        <v>118351.72560715808</v>
      </c>
      <c r="H38" s="60"/>
      <c r="I38" s="60"/>
      <c r="J38" s="101"/>
      <c r="K38" s="101"/>
      <c r="L38" s="102"/>
    </row>
    <row r="39" spans="1:12" s="23" customFormat="1" ht="21.75" customHeight="1" x14ac:dyDescent="0.3">
      <c r="A39" s="43" t="s">
        <v>38</v>
      </c>
      <c r="B39" s="112">
        <v>1</v>
      </c>
      <c r="C39" s="92">
        <v>2</v>
      </c>
      <c r="D39" s="114">
        <v>125364</v>
      </c>
      <c r="E39" s="28">
        <f>IF(ISBLANK(D39),"-",$D$48/$D$45*D39)</f>
        <v>133536.42948444825</v>
      </c>
      <c r="F39" s="82">
        <v>454545</v>
      </c>
      <c r="G39" s="33">
        <f>IF(ISBLANK(F39),"-",$D$48/$F$45*F39)</f>
        <v>435758.94759267149</v>
      </c>
      <c r="H39" s="60"/>
      <c r="I39" s="60"/>
      <c r="J39" s="101"/>
      <c r="K39" s="101"/>
      <c r="L39" s="102"/>
    </row>
    <row r="40" spans="1:12" ht="21.75" customHeight="1" x14ac:dyDescent="0.3">
      <c r="A40" s="43" t="s">
        <v>39</v>
      </c>
      <c r="B40" s="112">
        <v>1</v>
      </c>
      <c r="C40" s="92">
        <v>3</v>
      </c>
      <c r="D40" s="114">
        <v>125436</v>
      </c>
      <c r="E40" s="28">
        <f>IF(ISBLANK(D40),"-",$D$48/$D$45*D40)</f>
        <v>133613.1231359182</v>
      </c>
      <c r="F40" s="82">
        <v>454551</v>
      </c>
      <c r="G40" s="33">
        <f>IF(ISBLANK(F40),"-",$D$48/$F$45*F40)</f>
        <v>435764.69961653173</v>
      </c>
      <c r="J40" s="101"/>
      <c r="K40" s="101"/>
      <c r="L40" s="55"/>
    </row>
    <row r="41" spans="1:12" ht="21.75" customHeight="1" x14ac:dyDescent="0.3">
      <c r="A41" s="43" t="s">
        <v>40</v>
      </c>
      <c r="B41" s="112">
        <v>1</v>
      </c>
      <c r="C41" s="93">
        <v>4</v>
      </c>
      <c r="D41" s="115"/>
      <c r="E41" s="29" t="str">
        <f>IF(ISBLANK(D41),"-",$D$48/$D$45*D41)</f>
        <v>-</v>
      </c>
      <c r="F41" s="117"/>
      <c r="G41" s="34" t="str">
        <f>IF(ISBLANK(F41),"-",$D$48/$F$45*F41)</f>
        <v>-</v>
      </c>
      <c r="J41" s="101"/>
      <c r="K41" s="101"/>
      <c r="L41" s="55"/>
    </row>
    <row r="42" spans="1:12" ht="22.5" customHeight="1" x14ac:dyDescent="0.3">
      <c r="A42" s="43" t="s">
        <v>41</v>
      </c>
      <c r="B42" s="112">
        <v>1</v>
      </c>
      <c r="C42" s="108" t="s">
        <v>42</v>
      </c>
      <c r="D42" s="127">
        <f>AVERAGE(D38:D41)</f>
        <v>125351</v>
      </c>
      <c r="E42" s="30">
        <f>AVERAGE(E38:E41)</f>
        <v>133522.5820195995</v>
      </c>
      <c r="F42" s="31">
        <f>AVERAGE(F38:F41)</f>
        <v>344183.33333333331</v>
      </c>
      <c r="G42" s="30">
        <f>AVERAGE(G38:G41)</f>
        <v>329958.45760545373</v>
      </c>
    </row>
    <row r="43" spans="1:12" ht="21.75" customHeight="1" x14ac:dyDescent="0.3">
      <c r="A43" s="43" t="s">
        <v>43</v>
      </c>
      <c r="B43" s="82">
        <v>1</v>
      </c>
      <c r="C43" s="128" t="s">
        <v>44</v>
      </c>
      <c r="D43" s="129">
        <v>45</v>
      </c>
      <c r="E43" s="55"/>
      <c r="F43" s="118">
        <v>50</v>
      </c>
    </row>
    <row r="44" spans="1:12" ht="21.75" customHeight="1" x14ac:dyDescent="0.3">
      <c r="A44" s="43" t="s">
        <v>45</v>
      </c>
      <c r="B44" s="82">
        <v>1</v>
      </c>
      <c r="C44" s="130" t="s">
        <v>46</v>
      </c>
      <c r="D44" s="131">
        <f>D43*$B$34</f>
        <v>45</v>
      </c>
      <c r="E44" s="56"/>
      <c r="F44" s="35">
        <f>F43*$B$34</f>
        <v>50</v>
      </c>
    </row>
    <row r="45" spans="1:12" ht="19.5" customHeight="1" x14ac:dyDescent="0.3">
      <c r="A45" s="43" t="s">
        <v>47</v>
      </c>
      <c r="B45" s="56">
        <f>(B44/B43)*(B42/B41)*(B40/B39)*(B38/B37)*B36</f>
        <v>50</v>
      </c>
      <c r="C45" s="130" t="s">
        <v>48</v>
      </c>
      <c r="D45" s="132">
        <f>D44*$B$30/100</f>
        <v>42.245999999999995</v>
      </c>
      <c r="E45" s="57"/>
      <c r="F45" s="36">
        <f>F44*$B$30/100</f>
        <v>46.94</v>
      </c>
    </row>
    <row r="46" spans="1:12" ht="19.5" customHeight="1" x14ac:dyDescent="0.3">
      <c r="A46" s="139" t="s">
        <v>49</v>
      </c>
      <c r="B46" s="140"/>
      <c r="C46" s="130" t="s">
        <v>50</v>
      </c>
      <c r="D46" s="131">
        <f>D45/$B$45</f>
        <v>0.84491999999999989</v>
      </c>
      <c r="E46" s="57"/>
      <c r="F46" s="37">
        <f>F45/$B$45</f>
        <v>0.93879999999999997</v>
      </c>
    </row>
    <row r="47" spans="1:12" ht="19.5" customHeight="1" x14ac:dyDescent="0.3">
      <c r="A47" s="141"/>
      <c r="B47" s="142"/>
      <c r="C47" s="130" t="s">
        <v>51</v>
      </c>
      <c r="D47" s="133">
        <v>0.9</v>
      </c>
      <c r="F47" s="58"/>
    </row>
    <row r="48" spans="1:12" x14ac:dyDescent="0.3">
      <c r="C48" s="130" t="s">
        <v>52</v>
      </c>
      <c r="D48" s="36">
        <f>D47*$B$45</f>
        <v>45</v>
      </c>
      <c r="F48" s="58"/>
    </row>
    <row r="49" spans="1:8" ht="19.5" customHeight="1" x14ac:dyDescent="0.3">
      <c r="C49" s="134" t="s">
        <v>53</v>
      </c>
      <c r="D49" s="135">
        <f>D48/B34</f>
        <v>45</v>
      </c>
      <c r="F49" s="59"/>
    </row>
    <row r="50" spans="1:8" x14ac:dyDescent="0.3">
      <c r="C50" s="46" t="s">
        <v>54</v>
      </c>
      <c r="D50" s="38">
        <f>AVERAGE(E38:E41,G38:G41)</f>
        <v>231740.51981252665</v>
      </c>
      <c r="F50" s="59"/>
    </row>
    <row r="51" spans="1:8" x14ac:dyDescent="0.3">
      <c r="C51" s="44" t="s">
        <v>55</v>
      </c>
      <c r="D51" s="39">
        <f>STDEV(E38:E41,G38:G41)/D50</f>
        <v>0.68241593685391699</v>
      </c>
      <c r="F51" s="59"/>
    </row>
    <row r="52" spans="1:8" ht="19.5" customHeight="1" x14ac:dyDescent="0.3">
      <c r="C52" s="45" t="s">
        <v>56</v>
      </c>
      <c r="D52" s="40">
        <f>COUNT(E38:E41,G38:G41)</f>
        <v>6</v>
      </c>
      <c r="F52" s="59"/>
    </row>
    <row r="54" spans="1:8" x14ac:dyDescent="0.3">
      <c r="A54" s="52" t="s">
        <v>15</v>
      </c>
      <c r="B54" s="53" t="s">
        <v>57</v>
      </c>
    </row>
    <row r="55" spans="1:8" x14ac:dyDescent="0.3">
      <c r="A55" s="51" t="s">
        <v>58</v>
      </c>
      <c r="B55" s="54">
        <v>1</v>
      </c>
      <c r="C55" s="27" t="s">
        <v>59</v>
      </c>
    </row>
    <row r="56" spans="1:8" x14ac:dyDescent="0.3">
      <c r="A56" s="50" t="s">
        <v>60</v>
      </c>
      <c r="B56" s="86">
        <v>1</v>
      </c>
      <c r="C56" s="62" t="s">
        <v>61</v>
      </c>
      <c r="D56" s="87">
        <v>125</v>
      </c>
      <c r="E56" s="51" t="s">
        <v>59</v>
      </c>
      <c r="F56" s="62"/>
    </row>
    <row r="57" spans="1:8" ht="19.5" customHeight="1" x14ac:dyDescent="0.3">
      <c r="F57" s="62"/>
    </row>
    <row r="58" spans="1:8" s="23" customFormat="1" ht="15.75" customHeight="1" x14ac:dyDescent="0.3">
      <c r="A58" s="42" t="s">
        <v>62</v>
      </c>
      <c r="B58" s="84">
        <v>50</v>
      </c>
      <c r="C58" s="51"/>
      <c r="D58" s="109" t="s">
        <v>63</v>
      </c>
      <c r="E58" s="67" t="s">
        <v>64</v>
      </c>
      <c r="F58" s="67" t="s">
        <v>35</v>
      </c>
      <c r="G58" s="67" t="s">
        <v>65</v>
      </c>
      <c r="H58" s="105" t="s">
        <v>66</v>
      </c>
    </row>
    <row r="59" spans="1:8" s="23" customFormat="1" ht="15.75" customHeight="1" x14ac:dyDescent="0.3">
      <c r="A59" s="43" t="s">
        <v>67</v>
      </c>
      <c r="B59" s="85">
        <v>1</v>
      </c>
      <c r="C59" s="143" t="s">
        <v>68</v>
      </c>
      <c r="D59" s="147">
        <v>0.6</v>
      </c>
      <c r="E59" s="68">
        <v>1</v>
      </c>
      <c r="F59" s="88">
        <v>454588</v>
      </c>
      <c r="G59" s="71">
        <f>IF(ISBLANK(F59),"-",(F59/$D$50*$D$47*$B$67)*$B$56/$D$59)</f>
        <v>147.1218759135495</v>
      </c>
      <c r="H59" s="72">
        <f t="shared" ref="H59:H70" si="0">IF(ISBLANK($D$59),"Enter Smp Vol",IF(ISBLANK(F59),"-",G59/$D$56))</f>
        <v>1.176975007308396</v>
      </c>
    </row>
    <row r="60" spans="1:8" s="23" customFormat="1" ht="21.75" customHeight="1" x14ac:dyDescent="0.3">
      <c r="A60" s="43" t="s">
        <v>69</v>
      </c>
      <c r="B60" s="85">
        <v>1</v>
      </c>
      <c r="C60" s="144"/>
      <c r="D60" s="148"/>
      <c r="E60" s="69">
        <v>2</v>
      </c>
      <c r="F60" s="89">
        <v>454524</v>
      </c>
      <c r="G60" s="73">
        <f>IF(ISBLANK(F60),"-",(F60/$D$50*$D$47*$B$67)*$B$56/$D$59)</f>
        <v>147.10116309214095</v>
      </c>
      <c r="H60" s="74">
        <f t="shared" si="0"/>
        <v>1.1768093047371275</v>
      </c>
    </row>
    <row r="61" spans="1:8" s="23" customFormat="1" ht="21.75" customHeight="1" x14ac:dyDescent="0.3">
      <c r="A61" s="43" t="s">
        <v>70</v>
      </c>
      <c r="B61" s="85">
        <v>1</v>
      </c>
      <c r="C61" s="144"/>
      <c r="D61" s="148"/>
      <c r="E61" s="69">
        <v>3</v>
      </c>
      <c r="F61" s="89">
        <v>545242</v>
      </c>
      <c r="G61" s="73">
        <f>IF(ISBLANK(F61),"-",(F61/$D$50*$D$47*$B$67)*$B$56/$D$59)</f>
        <v>176.46094016308294</v>
      </c>
      <c r="H61" s="74">
        <f t="shared" si="0"/>
        <v>1.4116875213046636</v>
      </c>
    </row>
    <row r="62" spans="1:8" ht="22.5" customHeight="1" x14ac:dyDescent="0.3">
      <c r="A62" s="43" t="s">
        <v>71</v>
      </c>
      <c r="B62" s="85">
        <v>1</v>
      </c>
      <c r="C62" s="145"/>
      <c r="D62" s="149"/>
      <c r="E62" s="70">
        <v>4</v>
      </c>
      <c r="F62" s="90"/>
      <c r="G62" s="119" t="str">
        <f>IF(ISBLANK(F62),"-",(F62/$D$50*$D$47*$B$67)*$B$56/$D$59)</f>
        <v>-</v>
      </c>
      <c r="H62" s="74" t="str">
        <f t="shared" si="0"/>
        <v>-</v>
      </c>
    </row>
    <row r="63" spans="1:8" ht="21.75" customHeight="1" x14ac:dyDescent="0.3">
      <c r="A63" s="43" t="s">
        <v>72</v>
      </c>
      <c r="B63" s="85">
        <v>1</v>
      </c>
      <c r="C63" s="143" t="s">
        <v>73</v>
      </c>
      <c r="D63" s="147">
        <v>0.5</v>
      </c>
      <c r="E63" s="68">
        <v>1</v>
      </c>
      <c r="F63" s="88">
        <v>424343</v>
      </c>
      <c r="G63" s="71">
        <f>IF(ISBLANK(F63),"-",(F63/$D$50*$D$47*$B$67)*$B$56/$D$63)</f>
        <v>164.80013953060791</v>
      </c>
      <c r="H63" s="72">
        <f t="shared" si="0"/>
        <v>1.3184011162448632</v>
      </c>
    </row>
    <row r="64" spans="1:8" ht="21.75" customHeight="1" x14ac:dyDescent="0.3">
      <c r="A64" s="43" t="s">
        <v>74</v>
      </c>
      <c r="B64" s="85">
        <v>1</v>
      </c>
      <c r="C64" s="144"/>
      <c r="D64" s="148">
        <v>1</v>
      </c>
      <c r="E64" s="69">
        <v>2</v>
      </c>
      <c r="F64" s="89">
        <v>454551</v>
      </c>
      <c r="G64" s="73">
        <f>IF(ISBLANK(F64),"-",(F64/$D$50*$D$47*$B$67)*$B$56/$D$63)</f>
        <v>176.53188157640722</v>
      </c>
      <c r="H64" s="74">
        <f t="shared" si="0"/>
        <v>1.4122550526112578</v>
      </c>
    </row>
    <row r="65" spans="1:9" ht="21.75" customHeight="1" x14ac:dyDescent="0.3">
      <c r="A65" s="43" t="s">
        <v>75</v>
      </c>
      <c r="B65" s="85">
        <v>1</v>
      </c>
      <c r="C65" s="144"/>
      <c r="D65" s="148"/>
      <c r="E65" s="69">
        <v>3</v>
      </c>
      <c r="F65" s="89">
        <v>454852</v>
      </c>
      <c r="G65" s="73">
        <f>IF(ISBLANK(F65),"-",(F65/$D$50*$D$47*$B$67)*$B$56/$D$63)</f>
        <v>176.64877956223168</v>
      </c>
      <c r="H65" s="74">
        <f t="shared" si="0"/>
        <v>1.4131902364978535</v>
      </c>
    </row>
    <row r="66" spans="1:9" ht="21.75" customHeight="1" x14ac:dyDescent="0.3">
      <c r="A66" s="43" t="s">
        <v>76</v>
      </c>
      <c r="B66" s="85">
        <v>1</v>
      </c>
      <c r="C66" s="145"/>
      <c r="D66" s="149"/>
      <c r="E66" s="70">
        <v>4</v>
      </c>
      <c r="F66" s="90"/>
      <c r="G66" s="119" t="str">
        <f>IF(ISBLANK(F66),"-",(F66/$D$50*$D$47*$B$67)*$B$56/$D$63)</f>
        <v>-</v>
      </c>
      <c r="H66" s="75" t="str">
        <f t="shared" si="0"/>
        <v>-</v>
      </c>
    </row>
    <row r="67" spans="1:9" ht="21.75" customHeight="1" x14ac:dyDescent="0.3">
      <c r="A67" s="43" t="s">
        <v>77</v>
      </c>
      <c r="B67" s="92">
        <f>(B66/B65)*(B64/B63)*(B62/B61)*(B60/B59)*B58</f>
        <v>50</v>
      </c>
      <c r="C67" s="143" t="s">
        <v>78</v>
      </c>
      <c r="D67" s="147">
        <v>0.9</v>
      </c>
      <c r="E67" s="68">
        <v>1</v>
      </c>
      <c r="F67" s="88">
        <v>121335</v>
      </c>
      <c r="G67" s="71">
        <f>IF(ISBLANK(F67),"-",(F67/$D$50*$D$47*$B$67)*$B$56/$D$67)</f>
        <v>26.179064433392476</v>
      </c>
      <c r="H67" s="74">
        <f t="shared" si="0"/>
        <v>0.20943251546713981</v>
      </c>
    </row>
    <row r="68" spans="1:9" ht="21.75" customHeight="1" x14ac:dyDescent="0.3">
      <c r="A68" s="125" t="s">
        <v>79</v>
      </c>
      <c r="B68" s="126">
        <f>(D47*B67)/D56*B56</f>
        <v>0.36</v>
      </c>
      <c r="C68" s="144"/>
      <c r="D68" s="148"/>
      <c r="E68" s="69">
        <v>2</v>
      </c>
      <c r="F68" s="89">
        <v>151544</v>
      </c>
      <c r="G68" s="73">
        <f>IF(ISBLANK(F68),"-",(F68/$D$50*$D$47*$B$67)*$B$56/$D$67)</f>
        <v>32.696914661837305</v>
      </c>
      <c r="H68" s="74">
        <f t="shared" si="0"/>
        <v>0.26157531729469846</v>
      </c>
    </row>
    <row r="69" spans="1:9" ht="21" customHeight="1" x14ac:dyDescent="0.3">
      <c r="A69" s="139" t="s">
        <v>49</v>
      </c>
      <c r="B69" s="150"/>
      <c r="C69" s="144"/>
      <c r="D69" s="148"/>
      <c r="E69" s="69">
        <v>3</v>
      </c>
      <c r="F69" s="89">
        <v>454545</v>
      </c>
      <c r="G69" s="73">
        <f>IF(ISBLANK(F69),"-",(F69/$D$50*$D$47*$B$67)*$B$56/$D$67)</f>
        <v>98.071972991110414</v>
      </c>
      <c r="H69" s="74">
        <f t="shared" si="0"/>
        <v>0.78457578392888327</v>
      </c>
    </row>
    <row r="70" spans="1:9" ht="21.75" customHeight="1" x14ac:dyDescent="0.3">
      <c r="A70" s="141"/>
      <c r="B70" s="151"/>
      <c r="C70" s="146"/>
      <c r="D70" s="149"/>
      <c r="E70" s="70">
        <v>4</v>
      </c>
      <c r="F70" s="90"/>
      <c r="G70" s="119" t="str">
        <f>IF(ISBLANK(F70),"-",(F70/$D$50*$D$47*$B$67)*$B$56/$D$67)</f>
        <v>-</v>
      </c>
      <c r="H70" s="75" t="str">
        <f t="shared" si="0"/>
        <v>-</v>
      </c>
    </row>
    <row r="71" spans="1:9" x14ac:dyDescent="0.3">
      <c r="A71" s="63"/>
      <c r="B71" s="63"/>
      <c r="C71" s="63"/>
      <c r="E71" s="63"/>
      <c r="F71" s="64"/>
      <c r="G71" s="46" t="s">
        <v>42</v>
      </c>
      <c r="H71" s="120">
        <f>AVERAGE(H59:H70)</f>
        <v>1.0183224283772092</v>
      </c>
    </row>
    <row r="72" spans="1:9" x14ac:dyDescent="0.3">
      <c r="C72" s="63"/>
      <c r="E72" s="63"/>
      <c r="F72" s="64"/>
      <c r="G72" s="44" t="s">
        <v>55</v>
      </c>
      <c r="H72" s="76">
        <f>STDEV(H59:H70)/H71</f>
        <v>0.47702993321892545</v>
      </c>
    </row>
    <row r="73" spans="1:9" ht="19.5" customHeight="1" x14ac:dyDescent="0.3">
      <c r="A73" s="63"/>
      <c r="B73" s="63"/>
      <c r="C73" s="64"/>
      <c r="E73" s="65"/>
      <c r="F73" s="64"/>
      <c r="G73" s="45" t="s">
        <v>56</v>
      </c>
      <c r="H73" s="77">
        <f>COUNT(H59:H70)</f>
        <v>9</v>
      </c>
    </row>
    <row r="74" spans="1:9" s="112" customFormat="1" x14ac:dyDescent="0.3">
      <c r="A74" s="136"/>
      <c r="B74" s="136"/>
      <c r="C74" s="56"/>
      <c r="E74" s="57"/>
      <c r="F74" s="56"/>
      <c r="G74" s="137"/>
      <c r="H74" s="138"/>
    </row>
    <row r="75" spans="1:9" s="112" customFormat="1" x14ac:dyDescent="0.3">
      <c r="A75" s="136"/>
      <c r="B75" s="136"/>
      <c r="C75" s="56"/>
      <c r="E75" s="57"/>
      <c r="F75" s="56"/>
      <c r="G75" s="137"/>
      <c r="H75" s="138"/>
    </row>
    <row r="76" spans="1:9" ht="19.5" customHeight="1" x14ac:dyDescent="0.3">
      <c r="A76" s="79"/>
      <c r="B76" s="78"/>
      <c r="C76" s="78"/>
      <c r="D76" s="78"/>
      <c r="E76" s="78"/>
      <c r="F76" s="78"/>
      <c r="G76" s="78"/>
      <c r="H76" s="78"/>
      <c r="I76" s="66"/>
    </row>
    <row r="77" spans="1:9" x14ac:dyDescent="0.3">
      <c r="B77" s="62" t="s">
        <v>80</v>
      </c>
      <c r="E77" s="64" t="s">
        <v>81</v>
      </c>
      <c r="F77" s="66"/>
      <c r="G77" s="64" t="s">
        <v>82</v>
      </c>
    </row>
    <row r="78" spans="1:9" ht="83.1" customHeight="1" x14ac:dyDescent="0.3">
      <c r="A78" s="110" t="s">
        <v>83</v>
      </c>
      <c r="B78" s="121"/>
      <c r="C78" s="121"/>
      <c r="E78" s="25"/>
      <c r="G78" s="122"/>
      <c r="H78" s="122"/>
    </row>
    <row r="79" spans="1:9" ht="83.1" customHeight="1" x14ac:dyDescent="0.3">
      <c r="A79" s="110" t="s">
        <v>84</v>
      </c>
      <c r="B79" s="123"/>
      <c r="C79" s="123"/>
      <c r="E79" s="26"/>
      <c r="F79" s="66"/>
      <c r="G79" s="124"/>
      <c r="H79" s="124"/>
    </row>
    <row r="80" spans="1:9" x14ac:dyDescent="0.3">
      <c r="A80" s="63"/>
      <c r="B80" s="63"/>
      <c r="C80" s="64"/>
      <c r="D80" s="65"/>
      <c r="E80" s="64"/>
      <c r="F80" s="64"/>
      <c r="G80" s="66"/>
    </row>
    <row r="81" spans="1:7" x14ac:dyDescent="0.3">
      <c r="A81" s="63"/>
      <c r="B81" s="63"/>
      <c r="C81" s="64"/>
      <c r="D81" s="65"/>
      <c r="E81" s="64"/>
      <c r="F81" s="64"/>
      <c r="G81" s="66"/>
    </row>
    <row r="82" spans="1:7" x14ac:dyDescent="0.3">
      <c r="A82" s="63"/>
      <c r="B82" s="63"/>
      <c r="C82" s="64"/>
      <c r="D82" s="65"/>
      <c r="E82" s="64"/>
      <c r="F82" s="64"/>
      <c r="G82" s="66"/>
    </row>
    <row r="83" spans="1:7" x14ac:dyDescent="0.3">
      <c r="A83" s="63"/>
      <c r="B83" s="63"/>
      <c r="C83" s="64"/>
      <c r="D83" s="65"/>
      <c r="E83" s="64"/>
      <c r="F83" s="64"/>
      <c r="G83" s="66"/>
    </row>
    <row r="84" spans="1:7" x14ac:dyDescent="0.3">
      <c r="A84" s="63"/>
      <c r="B84" s="63"/>
      <c r="C84" s="64"/>
      <c r="D84" s="65"/>
      <c r="E84" s="64"/>
      <c r="F84" s="64"/>
      <c r="G84" s="66"/>
    </row>
    <row r="85" spans="1:7" x14ac:dyDescent="0.3">
      <c r="A85" s="63"/>
      <c r="B85" s="63"/>
      <c r="C85" s="64"/>
      <c r="D85" s="65"/>
      <c r="E85" s="64"/>
      <c r="F85" s="64"/>
      <c r="G85" s="66"/>
    </row>
    <row r="86" spans="1:7" x14ac:dyDescent="0.3">
      <c r="A86" s="63"/>
      <c r="B86" s="63"/>
      <c r="C86" s="64"/>
      <c r="D86" s="65"/>
      <c r="E86" s="64"/>
      <c r="F86" s="64"/>
      <c r="G86" s="66"/>
    </row>
    <row r="87" spans="1:7" x14ac:dyDescent="0.3">
      <c r="A87" s="63"/>
      <c r="B87" s="63"/>
      <c r="C87" s="64"/>
      <c r="D87" s="65"/>
      <c r="E87" s="64"/>
      <c r="F87" s="64"/>
      <c r="G87" s="66"/>
    </row>
    <row r="88" spans="1:7" x14ac:dyDescent="0.3">
      <c r="A88" s="63"/>
      <c r="B88" s="63"/>
      <c r="C88" s="64"/>
      <c r="D88" s="65"/>
      <c r="E88" s="64"/>
      <c r="F88" s="64"/>
      <c r="G88" s="66"/>
    </row>
  </sheetData>
  <sheetProtection formatCells="0" formatColumns="0" formatRows="0" insertColumns="0" insertRows="0" insertHyperlinks="0" deleteColumns="0" deleteRows="0" sort="0" autoFilter="0" pivotTables="0"/>
  <mergeCells count="15">
    <mergeCell ref="B18:C18"/>
    <mergeCell ref="B21:C21"/>
    <mergeCell ref="C29:E29"/>
    <mergeCell ref="D36:E36"/>
    <mergeCell ref="F36:G36"/>
    <mergeCell ref="C31:F31"/>
    <mergeCell ref="C32:F32"/>
    <mergeCell ref="A46:B47"/>
    <mergeCell ref="C59:C62"/>
    <mergeCell ref="C67:C70"/>
    <mergeCell ref="C63:C66"/>
    <mergeCell ref="D59:D62"/>
    <mergeCell ref="D63:D66"/>
    <mergeCell ref="D67:D70"/>
    <mergeCell ref="A69:B70"/>
  </mergeCells>
  <printOptions horizontalCentered="1" verticalCentered="1"/>
  <pageMargins left="0.7" right="0.7" top="0.75" bottom="0.75" header="0.3" footer="0.3"/>
  <pageSetup paperSize="9" scale="30" fitToHeight="2" orientation="landscape" r:id="rId1"/>
  <headerFooter alignWithMargins="0">
    <oddFooter>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Uniformity</vt:lpstr>
      <vt:lpstr>AI_papapa</vt:lpstr>
      <vt:lpstr>AI_papapa!Print_Area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Alphy</cp:lastModifiedBy>
  <dcterms:created xsi:type="dcterms:W3CDTF">2005-07-05T10:19:27Z</dcterms:created>
  <dcterms:modified xsi:type="dcterms:W3CDTF">2014-12-01T10:04:02Z</dcterms:modified>
  <cp:category/>
</cp:coreProperties>
</file>