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n.neto\Downloads\"/>
    </mc:Choice>
  </mc:AlternateContent>
  <xr:revisionPtr revIDLastSave="0" documentId="8_{B7E9BC05-8F39-4433-9E32-AB86AABC1E22}" xr6:coauthVersionLast="47" xr6:coauthVersionMax="47" xr10:uidLastSave="{00000000-0000-0000-0000-000000000000}"/>
  <bookViews>
    <workbookView xWindow="4040" yWindow="540" windowWidth="11350" windowHeight="10050" xr2:uid="{9E353891-12B5-431A-BB11-2479AE625E4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9" i="1" l="1"/>
  <c r="L56" i="1"/>
  <c r="H53" i="1"/>
  <c r="I51" i="1"/>
  <c r="K51" i="1" s="1"/>
  <c r="I37" i="1"/>
  <c r="J38" i="1"/>
  <c r="H37" i="1"/>
  <c r="N35" i="1"/>
  <c r="K34" i="1"/>
  <c r="H33" i="1"/>
  <c r="N31" i="1"/>
  <c r="K30" i="1"/>
  <c r="H29" i="1"/>
  <c r="N27" i="1"/>
  <c r="K26" i="1"/>
  <c r="H25" i="1"/>
  <c r="N23" i="1"/>
  <c r="K22" i="1"/>
  <c r="H21" i="1"/>
  <c r="N19" i="1"/>
  <c r="K18" i="1"/>
  <c r="H17" i="1"/>
  <c r="N15" i="1"/>
  <c r="K14" i="1"/>
  <c r="J13" i="1"/>
  <c r="O10" i="1"/>
  <c r="L9" i="1"/>
  <c r="J8" i="1"/>
  <c r="H38" i="1"/>
  <c r="O36" i="1"/>
  <c r="L35" i="1"/>
  <c r="J34" i="1"/>
  <c r="O32" i="1"/>
  <c r="L31" i="1"/>
  <c r="J30" i="1"/>
  <c r="O28" i="1"/>
  <c r="L27" i="1"/>
  <c r="J26" i="1"/>
  <c r="O24" i="1"/>
  <c r="L23" i="1"/>
  <c r="J22" i="1"/>
  <c r="O20" i="1"/>
  <c r="L19" i="1"/>
  <c r="J18" i="1"/>
  <c r="O16" i="1"/>
  <c r="L15" i="1"/>
  <c r="J14" i="1"/>
  <c r="H12" i="1"/>
  <c r="N10" i="1"/>
  <c r="K9" i="1"/>
  <c r="H8" i="1"/>
  <c r="O37" i="1"/>
  <c r="N36" i="1"/>
  <c r="K35" i="1"/>
  <c r="H34" i="1"/>
  <c r="N32" i="1"/>
  <c r="K31" i="1"/>
  <c r="H30" i="1"/>
  <c r="N28" i="1"/>
  <c r="K27" i="1"/>
  <c r="H26" i="1"/>
  <c r="N24" i="1"/>
  <c r="K23" i="1"/>
  <c r="H22" i="1"/>
  <c r="N20" i="1"/>
  <c r="K19" i="1"/>
  <c r="H18" i="1"/>
  <c r="N16" i="1"/>
  <c r="K15" i="1"/>
  <c r="H13" i="1"/>
  <c r="O11" i="1"/>
  <c r="L10" i="1"/>
  <c r="J9" i="1"/>
  <c r="O7" i="1"/>
  <c r="N37" i="1"/>
  <c r="L36" i="1"/>
  <c r="J35" i="1"/>
  <c r="O33" i="1"/>
  <c r="L32" i="1"/>
  <c r="J31" i="1"/>
  <c r="O29" i="1"/>
  <c r="L28" i="1"/>
  <c r="J27" i="1"/>
  <c r="O25" i="1"/>
  <c r="L24" i="1"/>
  <c r="J23" i="1"/>
  <c r="O21" i="1"/>
  <c r="L20" i="1"/>
  <c r="J19" i="1"/>
  <c r="O17" i="1"/>
  <c r="L16" i="1"/>
  <c r="J15" i="1"/>
  <c r="H14" i="1"/>
  <c r="O12" i="1"/>
  <c r="N11" i="1"/>
  <c r="K10" i="1"/>
  <c r="H9" i="1"/>
  <c r="N7" i="1"/>
  <c r="O38" i="1"/>
  <c r="L37" i="1"/>
  <c r="K36" i="1"/>
  <c r="H35" i="1"/>
  <c r="N33" i="1"/>
  <c r="K32" i="1"/>
  <c r="H31" i="1"/>
  <c r="N29" i="1"/>
  <c r="K28" i="1"/>
  <c r="H27" i="1"/>
  <c r="N25" i="1"/>
  <c r="K24" i="1"/>
  <c r="H23" i="1"/>
  <c r="N21" i="1"/>
  <c r="K20" i="1"/>
  <c r="H19" i="1"/>
  <c r="N17" i="1"/>
  <c r="K16" i="1"/>
  <c r="H15" i="1"/>
  <c r="O13" i="1"/>
  <c r="N12" i="1"/>
  <c r="L11" i="1"/>
  <c r="J10" i="1"/>
  <c r="O8" i="1"/>
  <c r="L7" i="1"/>
  <c r="N38" i="1"/>
  <c r="K37" i="1"/>
  <c r="J36" i="1"/>
  <c r="O34" i="1"/>
  <c r="L33" i="1"/>
  <c r="J32" i="1"/>
  <c r="O30" i="1"/>
  <c r="L29" i="1"/>
  <c r="J28" i="1"/>
  <c r="O26" i="1"/>
  <c r="L25" i="1"/>
  <c r="J24" i="1"/>
  <c r="O22" i="1"/>
  <c r="L21" i="1"/>
  <c r="J20" i="1"/>
  <c r="O18" i="1"/>
  <c r="L17" i="1"/>
  <c r="J16" i="1"/>
  <c r="O14" i="1"/>
  <c r="N13" i="1"/>
  <c r="L12" i="1"/>
  <c r="K11" i="1"/>
  <c r="H10" i="1"/>
  <c r="N8" i="1"/>
  <c r="K7" i="1"/>
  <c r="L38" i="1"/>
  <c r="J37" i="1"/>
  <c r="H36" i="1"/>
  <c r="N34" i="1"/>
  <c r="K33" i="1"/>
  <c r="H32" i="1"/>
  <c r="N30" i="1"/>
  <c r="K29" i="1"/>
  <c r="H28" i="1"/>
  <c r="N26" i="1"/>
  <c r="K25" i="1"/>
  <c r="H24" i="1"/>
  <c r="N22" i="1"/>
  <c r="K21" i="1"/>
  <c r="H20" i="1"/>
  <c r="N18" i="1"/>
  <c r="K17" i="1"/>
  <c r="H16" i="1"/>
  <c r="N14" i="1"/>
  <c r="L13" i="1"/>
  <c r="K12" i="1"/>
  <c r="J11" i="1"/>
  <c r="O9" i="1"/>
  <c r="L8" i="1"/>
  <c r="J7" i="1"/>
  <c r="K38" i="1"/>
  <c r="O35" i="1"/>
  <c r="L34" i="1"/>
  <c r="J33" i="1"/>
  <c r="O31" i="1"/>
  <c r="L30" i="1"/>
  <c r="J29" i="1"/>
  <c r="O27" i="1"/>
  <c r="L26" i="1"/>
  <c r="J25" i="1"/>
  <c r="O23" i="1"/>
  <c r="L22" i="1"/>
  <c r="J21" i="1"/>
  <c r="O19" i="1"/>
  <c r="L18" i="1"/>
  <c r="J17" i="1"/>
  <c r="O15" i="1"/>
  <c r="L14" i="1"/>
  <c r="K13" i="1"/>
  <c r="J12" i="1"/>
  <c r="H11" i="1"/>
  <c r="N9" i="1"/>
  <c r="K8" i="1"/>
  <c r="H7" i="1"/>
  <c r="H39" i="1" l="1"/>
  <c r="N39" i="1" a="1"/>
  <c r="N39" i="1" s="1"/>
  <c r="J39" i="1"/>
  <c r="O39" i="1" a="1"/>
  <c r="O39" i="1" s="1"/>
  <c r="I14" i="1"/>
  <c r="I13" i="1"/>
  <c r="I12" i="1"/>
  <c r="I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Marcello Cardoso Pirro</author>
    <author>tc={457D8763-9F39-4AE5-86E0-684B60DDF404}</author>
  </authors>
  <commentList>
    <comment ref="E7" authorId="0" shapeId="0" xr:uid="{CE82755B-290E-450D-B37B-38E0886CC4F4}">
      <text>
        <r>
          <rPr>
            <b/>
            <sz val="9"/>
            <color indexed="81"/>
            <rFont val="Segoe UI"/>
            <family val="2"/>
          </rPr>
          <t>BRIRJSDBS007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IRJS12</t>
        </r>
        <r>
          <rPr>
            <sz val="9"/>
            <color indexed="81"/>
            <rFont val="Segoe UI"/>
            <family val="2"/>
          </rPr>
          <t xml:space="preserve">
2º Emissão - Série Única
Vortx</t>
        </r>
      </text>
    </comment>
    <comment ref="E8" authorId="0" shapeId="0" xr:uid="{B4F72A05-E417-4116-ADCD-63563B96FFD8}">
      <text>
        <r>
          <rPr>
            <b/>
            <sz val="9"/>
            <color indexed="81"/>
            <rFont val="Segoe UI"/>
            <family val="2"/>
          </rPr>
          <t>BRIGSNDBS028
IGSN14</t>
        </r>
        <r>
          <rPr>
            <sz val="9"/>
            <color indexed="81"/>
            <rFont val="Segoe UI"/>
            <family val="2"/>
          </rPr>
          <t xml:space="preserve">
4º Emissão - 1º Série
Vortx</t>
        </r>
      </text>
    </comment>
    <comment ref="E9" authorId="0" shapeId="0" xr:uid="{7D1AA89E-5CF5-47AF-BE88-4F4E5763D889}">
      <text>
        <r>
          <rPr>
            <b/>
            <sz val="9"/>
            <color indexed="81"/>
            <rFont val="Segoe UI"/>
            <family val="2"/>
          </rPr>
          <t>BRIGSNDBS044
IGSN15</t>
        </r>
        <r>
          <rPr>
            <sz val="9"/>
            <color indexed="81"/>
            <rFont val="Segoe UI"/>
            <family val="2"/>
          </rPr>
          <t xml:space="preserve">
5º Emissão - 1º Série
Vortx</t>
        </r>
      </text>
    </comment>
    <comment ref="E10" authorId="0" shapeId="0" xr:uid="{37C7ABC6-9D32-40F0-9590-7ADF8BE13252}">
      <text>
        <r>
          <rPr>
            <b/>
            <sz val="9"/>
            <color indexed="81"/>
            <rFont val="Segoe UI"/>
            <family val="2"/>
          </rPr>
          <t>BRPASNDBS018
PASN12</t>
        </r>
        <r>
          <rPr>
            <sz val="9"/>
            <color indexed="81"/>
            <rFont val="Segoe UI"/>
            <family val="2"/>
          </rPr>
          <t xml:space="preserve">
2º Emissão - 1º Série
Vortx</t>
        </r>
      </text>
    </comment>
    <comment ref="G13" authorId="1" shapeId="0" xr:uid="{457D8763-9F39-4AE5-86E0-684B60DDF404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SC-45.743/FGTS** Monitor</t>
      </text>
    </comment>
    <comment ref="E35" authorId="0" shapeId="0" xr:uid="{45890B42-2DD9-46DC-B85F-B65CEEAA2EF4}">
      <text>
        <r>
          <rPr>
            <b/>
            <sz val="9"/>
            <color indexed="81"/>
            <rFont val="Segoe UI"/>
            <family val="2"/>
          </rPr>
          <t>BRIRJSDBS015
IRJS14
4º Emissão - 1º Série
Vortx</t>
        </r>
      </text>
    </comment>
    <comment ref="E36" authorId="0" shapeId="0" xr:uid="{F3A0F979-D386-4885-804F-CBCB8FE7AD1A}">
      <text>
        <r>
          <rPr>
            <b/>
            <sz val="9"/>
            <color indexed="81"/>
            <rFont val="Segoe UI"/>
            <family val="2"/>
          </rPr>
          <t>BRIRJSDBS023
IRJS24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4º Emissão - 2º série
Vortx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38" authorId="0" shapeId="0" xr:uid="{60649C86-7EA3-492A-9D7E-321E4389CD46}">
      <text>
        <r>
          <rPr>
            <b/>
            <sz val="9"/>
            <color indexed="81"/>
            <rFont val="Segoe UI"/>
            <family val="2"/>
          </rPr>
          <t>XXXXXXXXXXXX
IRJS15
5º Emissão - Série Única
Vortx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<sst xmlns="http://schemas.openxmlformats.org/spreadsheetml/2006/main" count="279" uniqueCount="114">
  <si>
    <t xml:space="preserve"> </t>
  </si>
  <si>
    <t>Resumo Dívidas</t>
  </si>
  <si>
    <t>#</t>
  </si>
  <si>
    <t>Empresa</t>
  </si>
  <si>
    <t>Banco</t>
  </si>
  <si>
    <t>Modalidade</t>
  </si>
  <si>
    <t>Finalidade</t>
  </si>
  <si>
    <t>Nº Contrato</t>
  </si>
  <si>
    <t>Valor Contratado</t>
  </si>
  <si>
    <t>Valor a Desembolsar</t>
  </si>
  <si>
    <t>Valor Atual</t>
  </si>
  <si>
    <t>Data Inicial</t>
  </si>
  <si>
    <t>Vencimento</t>
  </si>
  <si>
    <t>Custo</t>
  </si>
  <si>
    <t>Prazo Médio Reman. (Anos)</t>
  </si>
  <si>
    <t>Taxa Nominal</t>
  </si>
  <si>
    <t>C/C</t>
  </si>
  <si>
    <t>Monitor</t>
  </si>
  <si>
    <t>Igua RJ</t>
  </si>
  <si>
    <t>Mercado de Capitais</t>
  </si>
  <si>
    <t>Debêntures</t>
  </si>
  <si>
    <t>Empréstimo Ponte</t>
  </si>
  <si>
    <t>IRJS12</t>
  </si>
  <si>
    <t>CDI + 3,80% a.a.</t>
  </si>
  <si>
    <t>OK</t>
  </si>
  <si>
    <t>Iguá S.A.</t>
  </si>
  <si>
    <t>Capital de Giro</t>
  </si>
  <si>
    <t>IGSN14</t>
  </si>
  <si>
    <t>CDI + 3,50% a.a.</t>
  </si>
  <si>
    <t>IGSN15</t>
  </si>
  <si>
    <t>IPCA + 6,10% a.a.</t>
  </si>
  <si>
    <t>Paranaguá</t>
  </si>
  <si>
    <t>PASN12</t>
  </si>
  <si>
    <t>Agreste</t>
  </si>
  <si>
    <t>Caixa Econômica</t>
  </si>
  <si>
    <t>Saneamento p/ todos</t>
  </si>
  <si>
    <t>0395171-14</t>
  </si>
  <si>
    <t>TR + 8,70% a.a.</t>
  </si>
  <si>
    <t>0056 / 5125-0</t>
  </si>
  <si>
    <t>Atibaia</t>
  </si>
  <si>
    <t>0513.885-63</t>
  </si>
  <si>
    <t>TR + 8,90% a.a.</t>
  </si>
  <si>
    <t>3080 / 289-4</t>
  </si>
  <si>
    <t>Médio - Diferença abaixo 5k</t>
  </si>
  <si>
    <t>Itapoá</t>
  </si>
  <si>
    <t>BRDE</t>
  </si>
  <si>
    <t>SC-45.734 - Água</t>
  </si>
  <si>
    <t>TR + 9,00% a.a.</t>
  </si>
  <si>
    <t>3080 / 1204-0</t>
  </si>
  <si>
    <t>SC-45.734 - Esgoto</t>
  </si>
  <si>
    <t>Sanessol</t>
  </si>
  <si>
    <t>Banco do Brasil</t>
  </si>
  <si>
    <t>CCB</t>
  </si>
  <si>
    <t>CDI + 2,50% a.a.</t>
  </si>
  <si>
    <t>3132-1 / 1711-6</t>
  </si>
  <si>
    <t>ESAP</t>
  </si>
  <si>
    <t>CDI + 3,00% a.a.</t>
  </si>
  <si>
    <t>3132-1 / 1895-3</t>
  </si>
  <si>
    <t>BNB</t>
  </si>
  <si>
    <t>31.2020.1011.4375 - FNE</t>
  </si>
  <si>
    <t>IPCA + 1,7095% a.a.</t>
  </si>
  <si>
    <t>50112-4</t>
  </si>
  <si>
    <t>31.2020.1011.4375 - RECIN</t>
  </si>
  <si>
    <t>11,75% a.a.</t>
  </si>
  <si>
    <t>SPAT</t>
  </si>
  <si>
    <t>BNDES</t>
  </si>
  <si>
    <t>Finem</t>
  </si>
  <si>
    <t>09.200.321/017-A</t>
  </si>
  <si>
    <t>TJLP + 2,80% a.a.</t>
  </si>
  <si>
    <t>Boleto Bancário</t>
  </si>
  <si>
    <t>09.200.321/025-B</t>
  </si>
  <si>
    <t>10.203.701/019-A.1</t>
  </si>
  <si>
    <t>TJLP + 1,40% a.a.</t>
  </si>
  <si>
    <t>10.203.701/019-A.2</t>
  </si>
  <si>
    <t>TJLP + 2,40% a.a.</t>
  </si>
  <si>
    <t>09.205.851/030-C</t>
  </si>
  <si>
    <t>09.205.851/049-D</t>
  </si>
  <si>
    <t>Cuiabá</t>
  </si>
  <si>
    <t>14.204.241/014-A</t>
  </si>
  <si>
    <t>TJLP + 3,39% a.a.</t>
  </si>
  <si>
    <t>14.204.241/022-B</t>
  </si>
  <si>
    <t>IPCA + 8,98% a.a.</t>
  </si>
  <si>
    <t>Andradina</t>
  </si>
  <si>
    <t>13.207.171/019-A</t>
  </si>
  <si>
    <t>13.207.171/027-B</t>
  </si>
  <si>
    <t>13.207.171/035-C</t>
  </si>
  <si>
    <t>13.207.171/043-D</t>
  </si>
  <si>
    <t>Castilho</t>
  </si>
  <si>
    <t>13.207.181/014-A</t>
  </si>
  <si>
    <t>13.207.181/022-B</t>
  </si>
  <si>
    <t>13.207.181/030-C</t>
  </si>
  <si>
    <t>13.207.181/049-D</t>
  </si>
  <si>
    <t>Quitação Ponte</t>
  </si>
  <si>
    <t>IRJS14</t>
  </si>
  <si>
    <t>IPCA + 8,20% a.a.</t>
  </si>
  <si>
    <t>Transferência</t>
  </si>
  <si>
    <t>IRJS24</t>
  </si>
  <si>
    <t>IPCA + 7,9747%% a.a.</t>
  </si>
  <si>
    <t>Pontes e Lacerda</t>
  </si>
  <si>
    <t>306.401.604 - FCO</t>
  </si>
  <si>
    <t>IPCA + 4,5485% a.a.</t>
  </si>
  <si>
    <t>11320-4</t>
  </si>
  <si>
    <t>Erro</t>
  </si>
  <si>
    <t>IRJS15</t>
  </si>
  <si>
    <t>IPCA + 7,1303% a.a.</t>
  </si>
  <si>
    <t>Total</t>
  </si>
  <si>
    <t>Alta Floresta</t>
  </si>
  <si>
    <t>Pontes Lacerda</t>
  </si>
  <si>
    <t>Colíder</t>
  </si>
  <si>
    <t>Comodoro</t>
  </si>
  <si>
    <t>Canarana</t>
  </si>
  <si>
    <t>Piquete</t>
  </si>
  <si>
    <t>Palestina (ESAP)</t>
  </si>
  <si>
    <t>Tubarão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</si>
</sst>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#,##0_)_%;\(#,##0\)_%;_(&quot;–&quot;_)_%;_(@_)_%"/>
    <numFmt numFmtId="165" formatCode="0.00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rial"/>
      <family val="2"/>
    </font>
    <font>
      <sz val="24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u/>
      <sz val="8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6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theme="0" tint="-0.24994659260841701"/>
      </top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1" xfId="3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7" fillId="0" borderId="1" xfId="3" quotePrefix="1" applyNumberFormat="1" applyFont="1" applyFill="1" applyBorder="1" applyAlignment="1">
      <alignment horizontal="center" wrapText="1"/>
    </xf>
    <xf numFmtId="3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10" fontId="3" fillId="0" borderId="2" xfId="2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7" fillId="0" borderId="1" xfId="3" applyNumberFormat="1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3" fontId="7" fillId="0" borderId="1" xfId="3" applyNumberFormat="1" applyFont="1" applyFill="1" applyBorder="1" applyAlignment="1">
      <alignment horizontal="center" wrapText="1"/>
    </xf>
    <xf numFmtId="3" fontId="3" fillId="0" borderId="2" xfId="2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0" borderId="2" xfId="3" applyFill="1" applyBorder="1" applyAlignment="1">
      <alignment horizontal="center"/>
    </xf>
    <xf numFmtId="1" fontId="7" fillId="0" borderId="2" xfId="3" quotePrefix="1" applyNumberFormat="1" applyFont="1" applyFill="1" applyBorder="1" applyAlignment="1">
      <alignment horizontal="center" wrapText="1"/>
    </xf>
    <xf numFmtId="0" fontId="2" fillId="0" borderId="0" xfId="3" applyFill="1" applyBorder="1" applyAlignment="1">
      <alignment horizontal="center"/>
    </xf>
    <xf numFmtId="1" fontId="7" fillId="0" borderId="0" xfId="3" quotePrefix="1" applyNumberFormat="1" applyFont="1" applyFill="1" applyBorder="1" applyAlignment="1">
      <alignment horizontal="center" wrapText="1"/>
    </xf>
    <xf numFmtId="3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" fontId="6" fillId="2" borderId="0" xfId="0" applyNumberFormat="1" applyFont="1" applyFill="1" applyAlignment="1">
      <alignment horizontal="center"/>
    </xf>
    <xf numFmtId="4" fontId="6" fillId="2" borderId="0" xfId="0" applyNumberFormat="1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4" fontId="0" fillId="0" borderId="0" xfId="0" applyNumberFormat="1"/>
    <xf numFmtId="165" fontId="0" fillId="0" borderId="0" xfId="2" applyNumberFormat="1" applyFont="1"/>
    <xf numFmtId="43" fontId="0" fillId="0" borderId="0" xfId="1" applyFont="1"/>
    <xf numFmtId="4" fontId="0" fillId="0" borderId="0" xfId="0" applyNumberFormat="1"/>
    <xf numFmtId="10" fontId="0" fillId="0" borderId="0" xfId="2" applyNumberFormat="1" applyFont="1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4">
    <cellStyle name="Hiperligação" xfId="3" builtinId="8"/>
    <cellStyle name="Normal" xfId="0" builtinId="0"/>
    <cellStyle name="Percentagem" xfId="2" builtinId="5"/>
    <cellStyle name="Vírgula" xfId="1" builtinId="3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sz val="8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sz val="8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sz val="8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border outline="0"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57150</xdr:rowOff>
    </xdr:from>
    <xdr:to>
      <xdr:col>15</xdr:col>
      <xdr:colOff>0</xdr:colOff>
      <xdr:row>3</xdr:row>
      <xdr:rowOff>57150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0FB48049-91DF-418C-912B-5DB1F8EAD1AA}"/>
            </a:ext>
          </a:extLst>
        </xdr:cNvPr>
        <xdr:cNvCxnSpPr/>
      </xdr:nvCxnSpPr>
      <xdr:spPr>
        <a:xfrm flipV="1">
          <a:off x="130175" y="996950"/>
          <a:ext cx="15700375" cy="0"/>
        </a:xfrm>
        <a:prstGeom prst="line">
          <a:avLst/>
        </a:prstGeom>
        <a:ln w="38100">
          <a:solidFill>
            <a:srgbClr val="00B6C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104777</xdr:colOff>
      <xdr:row>0</xdr:row>
      <xdr:rowOff>85726</xdr:rowOff>
    </xdr:from>
    <xdr:to>
      <xdr:col>3</xdr:col>
      <xdr:colOff>523876</xdr:colOff>
      <xdr:row>4</xdr:row>
      <xdr:rowOff>98237</xdr:rowOff>
    </xdr:to>
    <xdr:pic>
      <xdr:nvPicPr>
        <xdr:cNvPr id="3" name="Gráfico 4">
          <a:extLst>
            <a:ext uri="{FF2B5EF4-FFF2-40B4-BE49-F238E27FC236}">
              <a16:creationId xmlns:a16="http://schemas.microsoft.com/office/drawing/2014/main" id="{3C8A5DDB-9E2C-462E-A117-112C7F1AB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5427" y="85726"/>
          <a:ext cx="2425699" cy="74911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ello Cardoso Pirro" id="{CA5948D6-7891-4BB5-BBCD-5B06AB6C4DFA}" userId="S::marcello.pirro@iguasa.com.br::5a7eae1b-2fde-492f-a11d-2304a076587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C01F4-8EBA-43FF-A95F-87FA3B821FD6}" name="Resumo" displayName="Resumo" ref="B6:Q39" totalsRowCount="1" headerRowDxfId="35" dataDxfId="34" totalsRowDxfId="33" tableBorderDxfId="32">
  <autoFilter ref="B6:Q38" xr:uid="{4FEC01F4-8EBA-43FF-A95F-87FA3B821FD6}"/>
  <tableColumns count="16">
    <tableColumn id="1" xr3:uid="{A44F2520-7D45-4421-A289-6A85B912206C}" name="#" totalsRowLabel="Total" dataDxfId="30" totalsRowDxfId="31"/>
    <tableColumn id="2" xr3:uid="{73E6CD43-A255-4323-9DDE-A72CE4426509}" name="Empresa" dataDxfId="28" totalsRowDxfId="29"/>
    <tableColumn id="3" xr3:uid="{D48CD70D-0056-4DA5-8A58-611A15E1737D}" name="Banco" dataDxfId="26" totalsRowDxfId="27"/>
    <tableColumn id="4" xr3:uid="{9066E6BA-7841-4894-B1E0-84A82EC71CE6}" name="Modalidade" dataDxfId="24" totalsRowDxfId="25"/>
    <tableColumn id="5" xr3:uid="{EFEB6AB8-CCE5-4CDE-82A8-1D2D13D28A9D}" name="Finalidade" dataDxfId="22" totalsRowDxfId="23"/>
    <tableColumn id="6" xr3:uid="{D5E43E45-433F-4D41-98E9-4E9A8EEAFAF5}" name="Nº Contrato" dataDxfId="20" totalsRowDxfId="21"/>
    <tableColumn id="8" xr3:uid="{F6A6367C-83F3-4DA2-AFAB-EF4AED1AF3DE}" name="Valor Contratado" totalsRowFunction="sum" dataDxfId="18" totalsRowDxfId="19">
      <calculatedColumnFormula>INDIRECT("'"&amp;$B7&amp;"'!$C$12")</calculatedColumnFormula>
    </tableColumn>
    <tableColumn id="10" xr3:uid="{6D49D0B3-199E-48EB-AE56-2E637E416EF0}" name="Valor a Desembolsar" totalsRowFunction="sum" dataDxfId="16" totalsRowDxfId="17"/>
    <tableColumn id="16" xr3:uid="{1559CA9C-2ADA-4373-86A3-95527C18D5B9}" name="Valor Atual" totalsRowFunction="sum" dataDxfId="14" totalsRowDxfId="15"/>
    <tableColumn id="11" xr3:uid="{36E2913A-F9BA-4C23-B488-D1A8E3DDBC79}" name="Data Inicial" dataDxfId="12" totalsRowDxfId="13">
      <calculatedColumnFormula>INDIRECT("'"&amp;$B7&amp;"'!$C$10")</calculatedColumnFormula>
    </tableColumn>
    <tableColumn id="12" xr3:uid="{97F28DF4-1A91-41CA-8C27-92DBA545992A}" name="Vencimento" dataDxfId="10" totalsRowDxfId="11">
      <calculatedColumnFormula>INDIRECT("'"&amp;$B7&amp;"'!$C$11")</calculatedColumnFormula>
    </tableColumn>
    <tableColumn id="13" xr3:uid="{D2508A5E-E2D6-4452-BEF9-364509F57BF3}" name="Custo" dataDxfId="8" totalsRowDxfId="9"/>
    <tableColumn id="14" xr3:uid="{796E15CB-B9BA-478A-B2EE-1A3230935905}" name="Prazo Médio Reman. (Anos)" totalsRowFunction="custom" dataDxfId="6" totalsRowDxfId="7">
      <calculatedColumnFormula>INDIRECT("'"&amp;$B7&amp;"'!$C$11")</calculatedColumnFormula>
      <totalsRowFormula array="1">SUMPRODUCT(Resumo[Valor Atual],SUBTOTAL(109,OFFSET(Resumo[Prazo Médio Reman. (Anos)],ROW(Resumo[Prazo Médio Reman. (Anos)])-MIN(ROW(Resumo[Prazo Médio Reman. (Anos)])),0,1)))/Resumo[[#Totals],[Valor Atual]]</totalsRowFormula>
    </tableColumn>
    <tableColumn id="15" xr3:uid="{79848EC1-2AD5-411F-8417-224FC25D1689}" name="Taxa Nominal" totalsRowFunction="custom" dataDxfId="4" totalsRowDxfId="5">
      <calculatedColumnFormula>INDIRECT("'"&amp;$B7&amp;"'!$C$11")</calculatedColumnFormula>
      <totalsRowFormula array="1">SUMPRODUCT(Resumo[Valor Atual],SUBTOTAL(109,OFFSET(Resumo[Taxa Nominal],ROW(Resumo[Taxa Nominal])-MIN(ROW(Resumo[Taxa Nominal])),0,1)))/Resumo[[#Totals],[Valor Atual]]</totalsRowFormula>
    </tableColumn>
    <tableColumn id="9" xr3:uid="{4612D3E6-EEA8-423A-8DB1-CFB546A6AAE6}" name="C/C" dataDxfId="2" totalsRowDxfId="3"/>
    <tableColumn id="17" xr3:uid="{794F6AEF-2942-4233-A441-D0240081C2A9}" name="Monitor" dataDxfId="0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3-10-18T14:27:54.44" personId="{CA5948D6-7891-4BB5-BBCD-5B06AB6C4DFA}" id="{457D8763-9F39-4AE5-86E0-684B60DDF404}">
    <text>SC-45.743/FGTS** Monitor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guasa-my.sharepoint.com/06%20-%20Empresas/Sanessol/6%20-%20Financiamentos/Banco%20do%20Brasil" TargetMode="External"/><Relationship Id="rId13" Type="http://schemas.openxmlformats.org/officeDocument/2006/relationships/hyperlink" Target="https://iguasa-my.sharepoint.com/06%20-%20Empresas/SPAT%20Saneamento/6%20-%20Financiamentos/BNDES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iguasa-my.sharepoint.com/06%20-%20Empresas/Itapo&#225;%20Saneamento/6%20-%20Financiamento/BRDE%20FGTS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iguasa-my.sharepoint.com/06%20-%20Empresas/Paranagu&#225;/6%20-%20Financiamentos/Deb&#234;ntures%20PASN12" TargetMode="External"/><Relationship Id="rId12" Type="http://schemas.openxmlformats.org/officeDocument/2006/relationships/hyperlink" Target="https://iguasa-my.sharepoint.com/06%20-%20Empresas/Agreste%20Saneamento/6%20-%20Financiamentos/BNB" TargetMode="External"/><Relationship Id="rId17" Type="http://schemas.openxmlformats.org/officeDocument/2006/relationships/hyperlink" Target="https://iguasa-my.sharepoint.com/06%20-%20Empresas/Igu&#225;%20Rio%20de%20Janeiro/6%20-%20Financiamentos/2&#170;%20emiss&#227;o%20-%20(IRJS12)" TargetMode="External"/><Relationship Id="rId2" Type="http://schemas.openxmlformats.org/officeDocument/2006/relationships/hyperlink" Target="https://iguasa-my.sharepoint.com/06%20-%20Empresas/Agreste%20Saneamento/6%20-%20Financiamentos/CEF" TargetMode="External"/><Relationship Id="rId16" Type="http://schemas.openxmlformats.org/officeDocument/2006/relationships/hyperlink" Target="https://iguasa-my.sharepoint.com/06%20-%20Empresas/Igu&#225;%20Rio%20de%20Janeiro/6%20-%20Financiamentos/2&#170;%20emiss&#227;o%20-%20(IRJS12)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iguasa-my.sharepoint.com/06%20-%20Empresas/Igu&#225;%20Rio%20de%20Janeiro/6%20-%20Financiamentos/2&#170;%20emiss&#227;o%20-%20(IRJS12)" TargetMode="External"/><Relationship Id="rId6" Type="http://schemas.openxmlformats.org/officeDocument/2006/relationships/hyperlink" Target="https://iguasa-my.sharepoint.com/06%20-%20Empresas/Igu&#225;%20Saneamento/6%20-%20Financiamentos/5a.%20Emiss&#227;o%20(IGSN15)" TargetMode="External"/><Relationship Id="rId11" Type="http://schemas.openxmlformats.org/officeDocument/2006/relationships/hyperlink" Target="https://iguasa-my.sharepoint.com/06%20-%20Empresas/Agreste%20Saneamento/6%20-%20Financiamentos/BNB" TargetMode="External"/><Relationship Id="rId5" Type="http://schemas.openxmlformats.org/officeDocument/2006/relationships/hyperlink" Target="https://iguasa-my.sharepoint.com/06%20-%20Empresas/Igu&#225;%20Saneamento/6%20-%20Financiamentos/4a.%20Emiss&#227;o%20(IGSN14)" TargetMode="External"/><Relationship Id="rId15" Type="http://schemas.openxmlformats.org/officeDocument/2006/relationships/hyperlink" Target="https://iguasa-my.sharepoint.com/06%20-%20Empresas/Igu&#225;%20Rio%20de%20Janeiro/6%20-%20Financiamentos/2&#170;%20emiss&#227;o%20-%20(IRJS12)" TargetMode="External"/><Relationship Id="rId10" Type="http://schemas.openxmlformats.org/officeDocument/2006/relationships/hyperlink" Target="https://iguasa-my.sharepoint.com/06%20-%20Empresas/ESAP/6%20-%20Financiamentos/Banco%20do%20Brasil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iguasa-my.sharepoint.com/06%20-%20Empresas/Atibaia%20Saneamento/6%20-%20Financiamentos/CEF" TargetMode="External"/><Relationship Id="rId9" Type="http://schemas.openxmlformats.org/officeDocument/2006/relationships/hyperlink" Target="https://iguasa-my.sharepoint.com/06%20-%20Empresas/Itapo&#225;%20Saneamento/6%20-%20Financiamento/BRDE%20FGTS" TargetMode="External"/><Relationship Id="rId14" Type="http://schemas.openxmlformats.org/officeDocument/2006/relationships/hyperlink" Target="https://iguasa-my.sharepoint.com/06%20-%20Empresas/SPAT%20Saneamento/6%20-%20Financiamentos/BNDES" TargetMode="External"/><Relationship Id="rId22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A09A-824C-445C-86B9-403819D22076}">
  <dimension ref="A1:Q66"/>
  <sheetViews>
    <sheetView tabSelected="1" workbookViewId="0">
      <selection activeCell="B2" sqref="B2:O3"/>
    </sheetView>
  </sheetViews>
  <sheetFormatPr defaultRowHeight="14.5" x14ac:dyDescent="0.35"/>
  <cols>
    <col min="1" max="1" width="1.7265625" customWidth="1"/>
    <col min="2" max="2" width="14.453125" bestFit="1" customWidth="1"/>
    <col min="3" max="3" width="14.26953125" customWidth="1"/>
    <col min="4" max="4" width="15.1796875" bestFit="1" customWidth="1"/>
    <col min="5" max="5" width="15.7265625" bestFit="1" customWidth="1"/>
    <col min="6" max="6" width="13.453125" hidden="1" customWidth="1"/>
    <col min="7" max="7" width="20.1796875" bestFit="1" customWidth="1"/>
    <col min="8" max="8" width="19" bestFit="1" customWidth="1"/>
    <col min="9" max="9" width="22.26953125" bestFit="1" customWidth="1"/>
    <col min="10" max="10" width="15.81640625" bestFit="1" customWidth="1"/>
    <col min="11" max="11" width="13.7265625" bestFit="1" customWidth="1"/>
    <col min="12" max="12" width="15.453125" bestFit="1" customWidth="1"/>
    <col min="13" max="13" width="15.26953125" bestFit="1" customWidth="1"/>
    <col min="14" max="14" width="27.7265625" bestFit="1" customWidth="1"/>
    <col min="15" max="15" width="15.81640625" bestFit="1" customWidth="1"/>
    <col min="16" max="16" width="12" bestFit="1" customWidth="1"/>
    <col min="17" max="17" width="41.81640625" hidden="1" customWidth="1"/>
    <col min="18" max="18" width="15.453125" bestFit="1" customWidth="1"/>
    <col min="19" max="19" width="12.7265625" bestFit="1" customWidth="1"/>
    <col min="20" max="20" width="13.81640625" bestFit="1" customWidth="1"/>
  </cols>
  <sheetData>
    <row r="1" spans="1:17" ht="15" customHeight="1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ht="29.5" x14ac:dyDescent="0.35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</row>
    <row r="3" spans="1:17" ht="29.5" x14ac:dyDescent="0.3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</row>
    <row r="4" spans="1:17" x14ac:dyDescent="0.35">
      <c r="A4" s="1"/>
      <c r="B4" s="1"/>
      <c r="C4" s="2"/>
      <c r="D4" s="2"/>
      <c r="E4" s="5"/>
      <c r="F4" s="5"/>
      <c r="G4" s="5"/>
      <c r="H4" s="5"/>
      <c r="I4" s="5"/>
      <c r="J4" s="5"/>
      <c r="K4" s="5"/>
      <c r="L4" s="2"/>
      <c r="M4" s="2"/>
    </row>
    <row r="5" spans="1:17" x14ac:dyDescent="0.35">
      <c r="B5" s="6">
        <v>45412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O5" s="6"/>
      <c r="P5" s="6"/>
      <c r="Q5" s="6"/>
    </row>
    <row r="6" spans="1:17" x14ac:dyDescent="0.3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</row>
    <row r="7" spans="1:17" x14ac:dyDescent="0.35">
      <c r="B7" s="9">
        <v>1</v>
      </c>
      <c r="C7" s="10" t="s">
        <v>18</v>
      </c>
      <c r="D7" s="10" t="s">
        <v>19</v>
      </c>
      <c r="E7" s="10" t="s">
        <v>20</v>
      </c>
      <c r="F7" s="10" t="s">
        <v>21</v>
      </c>
      <c r="G7" s="11" t="s">
        <v>22</v>
      </c>
      <c r="H7" s="12" t="e">
        <f t="shared" ref="H7:H36" ca="1" si="0">INDIRECT("'"&amp;$B7&amp;"'!$C$12")</f>
        <v>#REF!</v>
      </c>
      <c r="I7" s="12">
        <v>0</v>
      </c>
      <c r="J7" s="12">
        <f ca="1">IFERROR(VLOOKUP($B$5,INDIRECT("'"&amp;$B7&amp;"'!$F$2:$V$10000"),17,1),0)</f>
        <v>0</v>
      </c>
      <c r="K7" s="13" t="e">
        <f t="shared" ref="K7:K36" ca="1" si="1">INDIRECT("'"&amp;$B7&amp;"'!$C$10")</f>
        <v>#REF!</v>
      </c>
      <c r="L7" s="13" t="e">
        <f t="shared" ref="L7:L36" ca="1" si="2">INDIRECT("'"&amp;$B7&amp;"'!$C$11")</f>
        <v>#REF!</v>
      </c>
      <c r="M7" s="10" t="s">
        <v>23</v>
      </c>
      <c r="N7" s="14" t="e">
        <f ca="1">INDIRECT("'"&amp;$B7&amp;"'!$AJ$11")</f>
        <v>#REF!</v>
      </c>
      <c r="O7" s="15" t="e">
        <f ca="1">INDIRECT("'"&amp;$B7&amp;"'!$AK$11")</f>
        <v>#REF!</v>
      </c>
      <c r="P7" s="10"/>
      <c r="Q7" s="16" t="s">
        <v>24</v>
      </c>
    </row>
    <row r="8" spans="1:17" x14ac:dyDescent="0.35">
      <c r="B8" s="9">
        <v>2</v>
      </c>
      <c r="C8" s="17" t="s">
        <v>25</v>
      </c>
      <c r="D8" s="10" t="s">
        <v>19</v>
      </c>
      <c r="E8" s="10" t="s">
        <v>20</v>
      </c>
      <c r="F8" s="17" t="s">
        <v>26</v>
      </c>
      <c r="G8" s="18" t="s">
        <v>27</v>
      </c>
      <c r="H8" s="19" t="e">
        <f t="shared" ca="1" si="0"/>
        <v>#REF!</v>
      </c>
      <c r="I8" s="19">
        <v>0</v>
      </c>
      <c r="J8" s="12">
        <f ca="1">IFERROR(VLOOKUP($B$5,INDIRECT("'"&amp;$B8&amp;"'!$F$2:$V$10000"),17,1),0)</f>
        <v>0</v>
      </c>
      <c r="K8" s="20" t="e">
        <f t="shared" ca="1" si="1"/>
        <v>#REF!</v>
      </c>
      <c r="L8" s="20" t="e">
        <f t="shared" ca="1" si="2"/>
        <v>#REF!</v>
      </c>
      <c r="M8" s="10" t="s">
        <v>28</v>
      </c>
      <c r="N8" s="14" t="e">
        <f ca="1">INDIRECT("'"&amp;$B8&amp;"'!$AJ$89")</f>
        <v>#REF!</v>
      </c>
      <c r="O8" s="15" t="e">
        <f ca="1">INDIRECT("'"&amp;$B8&amp;"'!$AK$89")</f>
        <v>#REF!</v>
      </c>
      <c r="P8" s="10"/>
      <c r="Q8" s="16" t="s">
        <v>24</v>
      </c>
    </row>
    <row r="9" spans="1:17" x14ac:dyDescent="0.35">
      <c r="B9" s="9">
        <v>3</v>
      </c>
      <c r="C9" s="17" t="s">
        <v>25</v>
      </c>
      <c r="D9" s="10" t="s">
        <v>19</v>
      </c>
      <c r="E9" s="10" t="s">
        <v>20</v>
      </c>
      <c r="F9" s="17" t="s">
        <v>26</v>
      </c>
      <c r="G9" s="18" t="s">
        <v>29</v>
      </c>
      <c r="H9" s="12" t="e">
        <f t="shared" ca="1" si="0"/>
        <v>#REF!</v>
      </c>
      <c r="I9" s="12">
        <v>0</v>
      </c>
      <c r="J9" s="12">
        <f ca="1">IFERROR(VLOOKUP($B$5,INDIRECT("'"&amp;$B9&amp;"'!$H$2:$Y$10000"),18,1),0)</f>
        <v>0</v>
      </c>
      <c r="K9" s="13" t="e">
        <f t="shared" ca="1" si="1"/>
        <v>#REF!</v>
      </c>
      <c r="L9" s="13" t="e">
        <f t="shared" ca="1" si="2"/>
        <v>#REF!</v>
      </c>
      <c r="M9" s="10" t="s">
        <v>30</v>
      </c>
      <c r="N9" s="14" t="e">
        <f ca="1">INDIRECT("'"&amp;$B9&amp;"'!$AM$33")</f>
        <v>#REF!</v>
      </c>
      <c r="O9" s="15" t="e">
        <f ca="1">INDIRECT("'"&amp;$B9&amp;"'!$AN$33")</f>
        <v>#REF!</v>
      </c>
      <c r="P9" s="10"/>
      <c r="Q9" s="16" t="s">
        <v>24</v>
      </c>
    </row>
    <row r="10" spans="1:17" x14ac:dyDescent="0.35">
      <c r="B10" s="9">
        <v>6</v>
      </c>
      <c r="C10" s="10" t="s">
        <v>31</v>
      </c>
      <c r="D10" s="10" t="s">
        <v>19</v>
      </c>
      <c r="E10" s="10" t="s">
        <v>20</v>
      </c>
      <c r="F10" s="17" t="s">
        <v>26</v>
      </c>
      <c r="G10" s="21" t="s">
        <v>32</v>
      </c>
      <c r="H10" s="22" t="e">
        <f t="shared" ca="1" si="0"/>
        <v>#REF!</v>
      </c>
      <c r="I10" s="12">
        <v>0</v>
      </c>
      <c r="J10" s="12">
        <f ca="1">IFERROR(VLOOKUP($B$5,INDIRECT("'"&amp;$B10&amp;"'!$H$2:$Y$10000"),18,1),0)</f>
        <v>0</v>
      </c>
      <c r="K10" s="13" t="e">
        <f t="shared" ca="1" si="1"/>
        <v>#REF!</v>
      </c>
      <c r="L10" s="13" t="e">
        <f t="shared" ca="1" si="2"/>
        <v>#REF!</v>
      </c>
      <c r="M10" s="10" t="s">
        <v>30</v>
      </c>
      <c r="N10" s="14" t="e">
        <f ca="1">INDIRECT("'"&amp;$B10&amp;"'!$AM$25")</f>
        <v>#REF!</v>
      </c>
      <c r="O10" s="15" t="e">
        <f ca="1">INDIRECT("'"&amp;$B10&amp;"'!$AN$25")</f>
        <v>#REF!</v>
      </c>
      <c r="P10" s="10"/>
      <c r="Q10" s="16" t="s">
        <v>24</v>
      </c>
    </row>
    <row r="11" spans="1:17" x14ac:dyDescent="0.35">
      <c r="B11" s="9">
        <v>7</v>
      </c>
      <c r="C11" s="17" t="s">
        <v>33</v>
      </c>
      <c r="D11" s="17" t="s">
        <v>34</v>
      </c>
      <c r="E11" s="10" t="s">
        <v>35</v>
      </c>
      <c r="F11" s="17" t="s">
        <v>26</v>
      </c>
      <c r="G11" s="18" t="s">
        <v>36</v>
      </c>
      <c r="H11" s="12" t="e">
        <f t="shared" ca="1" si="0"/>
        <v>#REF!</v>
      </c>
      <c r="I11" s="19">
        <v>0</v>
      </c>
      <c r="J11" s="12">
        <f ca="1">IFERROR(VLOOKUP($B$5,INDIRECT("'"&amp;$B11&amp;"'!$F$2:$Q$10000"),12,1),0)</f>
        <v>0</v>
      </c>
      <c r="K11" s="20" t="e">
        <f t="shared" ca="1" si="1"/>
        <v>#REF!</v>
      </c>
      <c r="L11" s="20" t="e">
        <f t="shared" ca="1" si="2"/>
        <v>#REF!</v>
      </c>
      <c r="M11" s="17" t="s">
        <v>37</v>
      </c>
      <c r="N11" s="14" t="e">
        <f ca="1">INDIRECT("'"&amp;$B11&amp;"'!$AE$260")</f>
        <v>#REF!</v>
      </c>
      <c r="O11" s="15" t="e">
        <f ca="1">INDIRECT("'"&amp;$B11&amp;"'!$AF$260")</f>
        <v>#REF!</v>
      </c>
      <c r="P11" s="17" t="s">
        <v>38</v>
      </c>
      <c r="Q11" s="16" t="s">
        <v>24</v>
      </c>
    </row>
    <row r="12" spans="1:17" x14ac:dyDescent="0.35">
      <c r="B12" s="9">
        <v>8</v>
      </c>
      <c r="C12" s="10" t="s">
        <v>39</v>
      </c>
      <c r="D12" s="17" t="s">
        <v>34</v>
      </c>
      <c r="E12" s="10" t="s">
        <v>35</v>
      </c>
      <c r="F12" s="17" t="s">
        <v>26</v>
      </c>
      <c r="G12" s="18" t="s">
        <v>40</v>
      </c>
      <c r="H12" s="12" t="e">
        <f t="shared" ca="1" si="0"/>
        <v>#REF!</v>
      </c>
      <c r="I12" s="12" t="e">
        <f ca="1">Resumo[[#This Row],[Valor Contratado]]-41672165.04-3624899.89-4151476.16-9836835.13-11454884.2-4315495.26</f>
        <v>#REF!</v>
      </c>
      <c r="J12" s="12">
        <f ca="1">IFERROR(VLOOKUP($B$5,INDIRECT("'"&amp;$B12&amp;"'!$F$2:$Q$10000"),12,1),0)</f>
        <v>0</v>
      </c>
      <c r="K12" s="13" t="e">
        <f t="shared" ca="1" si="1"/>
        <v>#REF!</v>
      </c>
      <c r="L12" s="13" t="e">
        <f t="shared" ca="1" si="2"/>
        <v>#REF!</v>
      </c>
      <c r="M12" s="17" t="s">
        <v>41</v>
      </c>
      <c r="N12" s="14" t="e">
        <f ca="1">INDIRECT("'"&amp;$B12&amp;"'!$AE$215")</f>
        <v>#REF!</v>
      </c>
      <c r="O12" s="15" t="e">
        <f ca="1">INDIRECT("'"&amp;$B12&amp;"'!$AF$215")</f>
        <v>#REF!</v>
      </c>
      <c r="P12" s="23" t="s">
        <v>42</v>
      </c>
      <c r="Q12" s="24" t="s">
        <v>43</v>
      </c>
    </row>
    <row r="13" spans="1:17" x14ac:dyDescent="0.35">
      <c r="B13" s="9">
        <v>9</v>
      </c>
      <c r="C13" s="17" t="s">
        <v>44</v>
      </c>
      <c r="D13" s="17" t="s">
        <v>45</v>
      </c>
      <c r="E13" s="10" t="s">
        <v>35</v>
      </c>
      <c r="F13" s="17" t="s">
        <v>26</v>
      </c>
      <c r="G13" s="18" t="s">
        <v>46</v>
      </c>
      <c r="H13" s="12" t="e">
        <f t="shared" ca="1" si="0"/>
        <v>#REF!</v>
      </c>
      <c r="I13" s="19" t="e">
        <f ca="1">Resumo[[#This Row],[Valor Contratado]]-6415710.85-4270041.3-190427.5-3373757.48</f>
        <v>#REF!</v>
      </c>
      <c r="J13" s="12">
        <f ca="1">IFERROR(VLOOKUP($B$5,INDIRECT("'"&amp;$B13&amp;"'!$F$2:$R$10000"),13,1),0)</f>
        <v>0</v>
      </c>
      <c r="K13" s="20" t="e">
        <f t="shared" ca="1" si="1"/>
        <v>#REF!</v>
      </c>
      <c r="L13" s="20" t="e">
        <f t="shared" ca="1" si="2"/>
        <v>#REF!</v>
      </c>
      <c r="M13" s="17" t="s">
        <v>47</v>
      </c>
      <c r="N13" s="14" t="e">
        <f ca="1">INDIRECT("'"&amp;$B13&amp;"'!$AF$252")</f>
        <v>#REF!</v>
      </c>
      <c r="O13" s="15" t="e">
        <f ca="1">INDIRECT("'"&amp;$B13&amp;"'!$AG$252")</f>
        <v>#REF!</v>
      </c>
      <c r="P13" s="17" t="s">
        <v>48</v>
      </c>
      <c r="Q13" s="16" t="s">
        <v>24</v>
      </c>
    </row>
    <row r="14" spans="1:17" x14ac:dyDescent="0.35">
      <c r="B14" s="9">
        <v>10</v>
      </c>
      <c r="C14" s="17" t="s">
        <v>44</v>
      </c>
      <c r="D14" s="17" t="s">
        <v>45</v>
      </c>
      <c r="E14" s="10" t="s">
        <v>35</v>
      </c>
      <c r="F14" s="17" t="s">
        <v>26</v>
      </c>
      <c r="G14" s="18" t="s">
        <v>49</v>
      </c>
      <c r="H14" s="12" t="e">
        <f t="shared" ca="1" si="0"/>
        <v>#REF!</v>
      </c>
      <c r="I14" s="19" t="e">
        <f ca="1">Resumo[[#This Row],[Valor Contratado]]-1458029.06965645-5617958.48757938-4841796.74</f>
        <v>#REF!</v>
      </c>
      <c r="J14" s="12">
        <f t="shared" ref="J14:J21" ca="1" si="3">IFERROR(VLOOKUP($B$5,INDIRECT("'"&amp;$B14&amp;"'!$F$2:$R$10000"),13,1),0)</f>
        <v>0</v>
      </c>
      <c r="K14" s="20" t="e">
        <f t="shared" ca="1" si="1"/>
        <v>#REF!</v>
      </c>
      <c r="L14" s="20" t="e">
        <f t="shared" ca="1" si="2"/>
        <v>#REF!</v>
      </c>
      <c r="M14" s="17" t="s">
        <v>47</v>
      </c>
      <c r="N14" s="14" t="e">
        <f ca="1">INDIRECT("'"&amp;$B14&amp;"'!$AF$248")</f>
        <v>#REF!</v>
      </c>
      <c r="O14" s="15" t="e">
        <f ca="1">INDIRECT("'"&amp;$B14&amp;"'!$AG$248")</f>
        <v>#REF!</v>
      </c>
      <c r="P14" s="17" t="s">
        <v>48</v>
      </c>
      <c r="Q14" s="16" t="s">
        <v>24</v>
      </c>
    </row>
    <row r="15" spans="1:17" x14ac:dyDescent="0.35">
      <c r="B15" s="9">
        <v>11</v>
      </c>
      <c r="C15" s="10" t="s">
        <v>50</v>
      </c>
      <c r="D15" s="10" t="s">
        <v>51</v>
      </c>
      <c r="E15" s="10" t="s">
        <v>52</v>
      </c>
      <c r="F15" s="17" t="s">
        <v>26</v>
      </c>
      <c r="G15" s="21">
        <v>313202521</v>
      </c>
      <c r="H15" s="22" t="e">
        <f t="shared" ca="1" si="0"/>
        <v>#REF!</v>
      </c>
      <c r="I15" s="12">
        <v>0</v>
      </c>
      <c r="J15" s="12">
        <f ca="1">IFERROR(VLOOKUP($B$5,INDIRECT("'"&amp;$B15&amp;"'!$F$2:$P$10000"),11,1),0)</f>
        <v>0</v>
      </c>
      <c r="K15" s="13" t="e">
        <f t="shared" ca="1" si="1"/>
        <v>#REF!</v>
      </c>
      <c r="L15" s="13" t="e">
        <f t="shared" ca="1" si="2"/>
        <v>#REF!</v>
      </c>
      <c r="M15" s="10" t="s">
        <v>53</v>
      </c>
      <c r="N15" s="14" t="e">
        <f ca="1">INDIRECT("'"&amp;$B15&amp;"'!$AD$15")</f>
        <v>#REF!</v>
      </c>
      <c r="O15" s="15" t="e">
        <f ca="1">INDIRECT("'"&amp;$B15&amp;"'!$AE$15")</f>
        <v>#REF!</v>
      </c>
      <c r="P15" s="15" t="s">
        <v>54</v>
      </c>
      <c r="Q15" s="16" t="s">
        <v>24</v>
      </c>
    </row>
    <row r="16" spans="1:17" x14ac:dyDescent="0.35">
      <c r="B16" s="9">
        <v>12</v>
      </c>
      <c r="C16" s="17" t="s">
        <v>55</v>
      </c>
      <c r="D16" s="10" t="s">
        <v>51</v>
      </c>
      <c r="E16" s="10" t="s">
        <v>52</v>
      </c>
      <c r="F16" s="17" t="s">
        <v>26</v>
      </c>
      <c r="G16" s="21">
        <v>313202520</v>
      </c>
      <c r="H16" s="19" t="e">
        <f t="shared" ca="1" si="0"/>
        <v>#REF!</v>
      </c>
      <c r="I16" s="19">
        <v>0</v>
      </c>
      <c r="J16" s="12">
        <f ca="1">IFERROR(VLOOKUP($B$5,INDIRECT("'"&amp;$B16&amp;"'!$F$2:$P$10000"),11,1),0)</f>
        <v>0</v>
      </c>
      <c r="K16" s="20" t="e">
        <f t="shared" ca="1" si="1"/>
        <v>#REF!</v>
      </c>
      <c r="L16" s="20" t="e">
        <f t="shared" ca="1" si="2"/>
        <v>#REF!</v>
      </c>
      <c r="M16" s="10" t="s">
        <v>56</v>
      </c>
      <c r="N16" s="14" t="e">
        <f ca="1">INDIRECT("'"&amp;$B16&amp;"'!$AD$15")</f>
        <v>#REF!</v>
      </c>
      <c r="O16" s="15" t="e">
        <f ca="1">INDIRECT("'"&amp;$B16&amp;"'!$AE$15")</f>
        <v>#REF!</v>
      </c>
      <c r="P16" s="15" t="s">
        <v>57</v>
      </c>
      <c r="Q16" s="16" t="s">
        <v>24</v>
      </c>
    </row>
    <row r="17" spans="2:17" x14ac:dyDescent="0.35">
      <c r="B17" s="9">
        <v>13</v>
      </c>
      <c r="C17" s="10" t="s">
        <v>33</v>
      </c>
      <c r="D17" s="10" t="s">
        <v>58</v>
      </c>
      <c r="E17" s="10" t="s">
        <v>52</v>
      </c>
      <c r="F17" s="17" t="s">
        <v>26</v>
      </c>
      <c r="G17" s="11" t="s">
        <v>59</v>
      </c>
      <c r="H17" s="12" t="e">
        <f t="shared" ca="1" si="0"/>
        <v>#REF!</v>
      </c>
      <c r="I17" s="12">
        <v>0</v>
      </c>
      <c r="J17" s="12">
        <f ca="1">IFERROR(VLOOKUP($B$5,INDIRECT("'"&amp;$B17&amp;"'!$F$2:$S$10000"),14,1),0)</f>
        <v>0</v>
      </c>
      <c r="K17" s="13" t="e">
        <f t="shared" ca="1" si="1"/>
        <v>#REF!</v>
      </c>
      <c r="L17" s="13" t="e">
        <f t="shared" ca="1" si="2"/>
        <v>#REF!</v>
      </c>
      <c r="M17" s="10" t="s">
        <v>60</v>
      </c>
      <c r="N17" s="14" t="e">
        <f ca="1">INDIRECT("'"&amp;$B17&amp;"'!$AG$40")</f>
        <v>#REF!</v>
      </c>
      <c r="O17" s="15" t="e">
        <f ca="1">INDIRECT("'"&amp;$B17&amp;"'!$AH$40")</f>
        <v>#REF!</v>
      </c>
      <c r="P17" s="15" t="s">
        <v>61</v>
      </c>
      <c r="Q17" s="16" t="s">
        <v>24</v>
      </c>
    </row>
    <row r="18" spans="2:17" x14ac:dyDescent="0.35">
      <c r="B18" s="9">
        <v>14</v>
      </c>
      <c r="C18" s="10" t="s">
        <v>33</v>
      </c>
      <c r="D18" s="10" t="s">
        <v>58</v>
      </c>
      <c r="E18" s="10" t="s">
        <v>52</v>
      </c>
      <c r="F18" s="17" t="s">
        <v>26</v>
      </c>
      <c r="G18" s="11" t="s">
        <v>62</v>
      </c>
      <c r="H18" s="12" t="e">
        <f t="shared" ca="1" si="0"/>
        <v>#REF!</v>
      </c>
      <c r="I18" s="12">
        <v>0</v>
      </c>
      <c r="J18" s="12">
        <f ca="1">IFERROR(VLOOKUP($B$5,INDIRECT("'"&amp;$B18&amp;"'!$F$2:$O$10000"),10,1),0)</f>
        <v>0</v>
      </c>
      <c r="K18" s="13" t="e">
        <f t="shared" ca="1" si="1"/>
        <v>#REF!</v>
      </c>
      <c r="L18" s="13" t="e">
        <f t="shared" ca="1" si="2"/>
        <v>#REF!</v>
      </c>
      <c r="M18" s="10" t="s">
        <v>63</v>
      </c>
      <c r="N18" s="14" t="e">
        <f ca="1">INDIRECT("'"&amp;$B18&amp;"'!$AC$40")</f>
        <v>#REF!</v>
      </c>
      <c r="O18" s="15" t="e">
        <f ca="1">INDIRECT("'"&amp;$B18&amp;"'!$AD$40")</f>
        <v>#REF!</v>
      </c>
      <c r="P18" s="15" t="s">
        <v>61</v>
      </c>
      <c r="Q18" s="16" t="s">
        <v>24</v>
      </c>
    </row>
    <row r="19" spans="2:17" x14ac:dyDescent="0.35">
      <c r="B19" s="9">
        <v>15</v>
      </c>
      <c r="C19" s="10" t="s">
        <v>64</v>
      </c>
      <c r="D19" s="10" t="s">
        <v>65</v>
      </c>
      <c r="E19" s="10" t="s">
        <v>66</v>
      </c>
      <c r="F19" s="17" t="s">
        <v>26</v>
      </c>
      <c r="G19" s="11" t="s">
        <v>67</v>
      </c>
      <c r="H19" s="12" t="e">
        <f t="shared" ca="1" si="0"/>
        <v>#REF!</v>
      </c>
      <c r="I19" s="12">
        <v>0</v>
      </c>
      <c r="J19" s="12">
        <f t="shared" ca="1" si="3"/>
        <v>0</v>
      </c>
      <c r="K19" s="13" t="e">
        <f t="shared" ca="1" si="1"/>
        <v>#REF!</v>
      </c>
      <c r="L19" s="13" t="e">
        <f t="shared" ca="1" si="2"/>
        <v>#REF!</v>
      </c>
      <c r="M19" s="10" t="s">
        <v>68</v>
      </c>
      <c r="N19" s="14" t="e">
        <f ca="1">INDIRECT("'"&amp;$B19&amp;"'!$AF$156")</f>
        <v>#REF!</v>
      </c>
      <c r="O19" s="15" t="e">
        <f ca="1">INDIRECT("'"&amp;$B19&amp;"'!$AG$156")</f>
        <v>#REF!</v>
      </c>
      <c r="P19" s="10" t="s">
        <v>69</v>
      </c>
      <c r="Q19" s="24" t="s">
        <v>43</v>
      </c>
    </row>
    <row r="20" spans="2:17" x14ac:dyDescent="0.35">
      <c r="B20" s="9">
        <v>16</v>
      </c>
      <c r="C20" s="10" t="s">
        <v>64</v>
      </c>
      <c r="D20" s="10" t="s">
        <v>65</v>
      </c>
      <c r="E20" s="10" t="s">
        <v>66</v>
      </c>
      <c r="F20" s="17" t="s">
        <v>26</v>
      </c>
      <c r="G20" s="11" t="s">
        <v>70</v>
      </c>
      <c r="H20" s="12" t="e">
        <f t="shared" ca="1" si="0"/>
        <v>#REF!</v>
      </c>
      <c r="I20" s="12">
        <v>0</v>
      </c>
      <c r="J20" s="12">
        <f t="shared" ca="1" si="3"/>
        <v>0</v>
      </c>
      <c r="K20" s="13" t="e">
        <f t="shared" ca="1" si="1"/>
        <v>#REF!</v>
      </c>
      <c r="L20" s="13" t="e">
        <f t="shared" ca="1" si="2"/>
        <v>#REF!</v>
      </c>
      <c r="M20" s="10" t="s">
        <v>68</v>
      </c>
      <c r="N20" s="14" t="e">
        <f ca="1">INDIRECT("'"&amp;$B20&amp;"'!$AF$147")</f>
        <v>#REF!</v>
      </c>
      <c r="O20" s="15" t="e">
        <f ca="1">INDIRECT("'"&amp;$B20&amp;"'!$AG$147")</f>
        <v>#REF!</v>
      </c>
      <c r="P20" s="10" t="s">
        <v>69</v>
      </c>
      <c r="Q20" s="16" t="s">
        <v>24</v>
      </c>
    </row>
    <row r="21" spans="2:17" x14ac:dyDescent="0.35">
      <c r="B21" s="9">
        <v>17</v>
      </c>
      <c r="C21" s="10" t="s">
        <v>50</v>
      </c>
      <c r="D21" s="10" t="s">
        <v>65</v>
      </c>
      <c r="E21" s="10" t="s">
        <v>66</v>
      </c>
      <c r="F21" s="17" t="s">
        <v>26</v>
      </c>
      <c r="G21" s="11" t="s">
        <v>71</v>
      </c>
      <c r="H21" s="12" t="e">
        <f t="shared" ca="1" si="0"/>
        <v>#REF!</v>
      </c>
      <c r="I21" s="12">
        <v>0</v>
      </c>
      <c r="J21" s="12">
        <f t="shared" ca="1" si="3"/>
        <v>0</v>
      </c>
      <c r="K21" s="13" t="e">
        <f t="shared" ca="1" si="1"/>
        <v>#REF!</v>
      </c>
      <c r="L21" s="13" t="e">
        <f t="shared" ca="1" si="2"/>
        <v>#REF!</v>
      </c>
      <c r="M21" s="10" t="s">
        <v>72</v>
      </c>
      <c r="N21" s="14" t="e">
        <f ca="1">INDIRECT("'"&amp;$B21&amp;"'!$AF$155")</f>
        <v>#REF!</v>
      </c>
      <c r="O21" s="15" t="e">
        <f ca="1">INDIRECT("'"&amp;$B21&amp;"'!$AG$155")</f>
        <v>#REF!</v>
      </c>
      <c r="P21" s="10" t="s">
        <v>69</v>
      </c>
      <c r="Q21" s="16" t="s">
        <v>24</v>
      </c>
    </row>
    <row r="22" spans="2:17" x14ac:dyDescent="0.35">
      <c r="B22" s="9">
        <v>18</v>
      </c>
      <c r="C22" s="10" t="s">
        <v>50</v>
      </c>
      <c r="D22" s="10" t="s">
        <v>65</v>
      </c>
      <c r="E22" s="10" t="s">
        <v>66</v>
      </c>
      <c r="F22" s="17" t="s">
        <v>26</v>
      </c>
      <c r="G22" s="11" t="s">
        <v>73</v>
      </c>
      <c r="H22" s="12" t="e">
        <f t="shared" ca="1" si="0"/>
        <v>#REF!</v>
      </c>
      <c r="I22" s="12">
        <v>0</v>
      </c>
      <c r="J22" s="12">
        <f ca="1">IFERROR(VLOOKUP($B$5,INDIRECT("'"&amp;$B22&amp;"'!$G$2:$U$10000"),15,1),0)</f>
        <v>0</v>
      </c>
      <c r="K22" s="13" t="e">
        <f t="shared" ca="1" si="1"/>
        <v>#REF!</v>
      </c>
      <c r="L22" s="13" t="e">
        <f t="shared" ca="1" si="2"/>
        <v>#REF!</v>
      </c>
      <c r="M22" s="10" t="s">
        <v>74</v>
      </c>
      <c r="N22" s="14" t="e">
        <f ca="1">INDIRECT("'"&amp;$B22&amp;"'!$AI$155")</f>
        <v>#REF!</v>
      </c>
      <c r="O22" s="15" t="e">
        <f ca="1">INDIRECT("'"&amp;$B22&amp;"'!$AJ$155")</f>
        <v>#REF!</v>
      </c>
      <c r="P22" s="10" t="s">
        <v>69</v>
      </c>
      <c r="Q22" s="16" t="s">
        <v>24</v>
      </c>
    </row>
    <row r="23" spans="2:17" x14ac:dyDescent="0.35">
      <c r="B23" s="9">
        <v>19</v>
      </c>
      <c r="C23" s="17" t="s">
        <v>31</v>
      </c>
      <c r="D23" s="10" t="s">
        <v>65</v>
      </c>
      <c r="E23" s="10" t="s">
        <v>66</v>
      </c>
      <c r="F23" s="17" t="s">
        <v>26</v>
      </c>
      <c r="G23" s="11" t="s">
        <v>75</v>
      </c>
      <c r="H23" s="19" t="e">
        <f t="shared" ca="1" si="0"/>
        <v>#REF!</v>
      </c>
      <c r="I23" s="19">
        <v>0</v>
      </c>
      <c r="J23" s="12">
        <f t="shared" ref="J23:J34" ca="1" si="4">IFERROR(VLOOKUP($B$5,INDIRECT("'"&amp;$B23&amp;"'!$G$2:$U$10000"),15,1),0)</f>
        <v>0</v>
      </c>
      <c r="K23" s="20" t="e">
        <f t="shared" ca="1" si="1"/>
        <v>#REF!</v>
      </c>
      <c r="L23" s="20" t="e">
        <f t="shared" ca="1" si="2"/>
        <v>#REF!</v>
      </c>
      <c r="M23" s="10" t="s">
        <v>72</v>
      </c>
      <c r="N23" s="14" t="e">
        <f t="shared" ref="N23:N32" ca="1" si="5">INDIRECT("'"&amp;$B23&amp;"'!$AI$155")</f>
        <v>#REF!</v>
      </c>
      <c r="O23" s="15" t="e">
        <f t="shared" ref="O23:O32" ca="1" si="6">INDIRECT("'"&amp;$B23&amp;"'!$AJ$155")</f>
        <v>#REF!</v>
      </c>
      <c r="P23" s="10" t="s">
        <v>69</v>
      </c>
      <c r="Q23" s="16" t="s">
        <v>24</v>
      </c>
    </row>
    <row r="24" spans="2:17" x14ac:dyDescent="0.35">
      <c r="B24" s="9">
        <v>20</v>
      </c>
      <c r="C24" s="17" t="s">
        <v>31</v>
      </c>
      <c r="D24" s="10" t="s">
        <v>65</v>
      </c>
      <c r="E24" s="10" t="s">
        <v>66</v>
      </c>
      <c r="F24" s="17" t="s">
        <v>26</v>
      </c>
      <c r="G24" s="11" t="s">
        <v>76</v>
      </c>
      <c r="H24" s="12" t="e">
        <f t="shared" ca="1" si="0"/>
        <v>#REF!</v>
      </c>
      <c r="I24" s="12">
        <v>0</v>
      </c>
      <c r="J24" s="12">
        <f t="shared" ca="1" si="4"/>
        <v>0</v>
      </c>
      <c r="K24" s="13" t="e">
        <f t="shared" ca="1" si="1"/>
        <v>#REF!</v>
      </c>
      <c r="L24" s="13" t="e">
        <f t="shared" ca="1" si="2"/>
        <v>#REF!</v>
      </c>
      <c r="M24" s="10" t="s">
        <v>74</v>
      </c>
      <c r="N24" s="14" t="e">
        <f t="shared" ca="1" si="5"/>
        <v>#REF!</v>
      </c>
      <c r="O24" s="15" t="e">
        <f t="shared" ca="1" si="6"/>
        <v>#REF!</v>
      </c>
      <c r="P24" s="10" t="s">
        <v>69</v>
      </c>
      <c r="Q24" s="16" t="s">
        <v>24</v>
      </c>
    </row>
    <row r="25" spans="2:17" x14ac:dyDescent="0.35">
      <c r="B25" s="9">
        <v>21</v>
      </c>
      <c r="C25" s="10" t="s">
        <v>77</v>
      </c>
      <c r="D25" s="10" t="s">
        <v>65</v>
      </c>
      <c r="E25" s="10" t="s">
        <v>66</v>
      </c>
      <c r="F25" s="17" t="s">
        <v>26</v>
      </c>
      <c r="G25" s="11" t="s">
        <v>78</v>
      </c>
      <c r="H25" s="12" t="e">
        <f t="shared" ca="1" si="0"/>
        <v>#REF!</v>
      </c>
      <c r="I25" s="12">
        <v>0</v>
      </c>
      <c r="J25" s="12">
        <f t="shared" ca="1" si="4"/>
        <v>0</v>
      </c>
      <c r="K25" s="13" t="e">
        <f t="shared" ca="1" si="1"/>
        <v>#REF!</v>
      </c>
      <c r="L25" s="13" t="e">
        <f t="shared" ca="1" si="2"/>
        <v>#REF!</v>
      </c>
      <c r="M25" s="10" t="s">
        <v>79</v>
      </c>
      <c r="N25" s="14" t="e">
        <f ca="1">INDIRECT("'"&amp;$B25&amp;"'!$AI$182")</f>
        <v>#REF!</v>
      </c>
      <c r="O25" s="15" t="e">
        <f ca="1">INDIRECT("'"&amp;$B25&amp;"'!$AJ$182")</f>
        <v>#REF!</v>
      </c>
      <c r="P25" s="10" t="s">
        <v>69</v>
      </c>
      <c r="Q25" s="24" t="s">
        <v>43</v>
      </c>
    </row>
    <row r="26" spans="2:17" x14ac:dyDescent="0.35">
      <c r="B26" s="9">
        <v>22</v>
      </c>
      <c r="C26" s="10" t="s">
        <v>77</v>
      </c>
      <c r="D26" s="10" t="s">
        <v>65</v>
      </c>
      <c r="E26" s="10" t="s">
        <v>66</v>
      </c>
      <c r="F26" s="17" t="s">
        <v>26</v>
      </c>
      <c r="G26" s="11" t="s">
        <v>80</v>
      </c>
      <c r="H26" s="12" t="e">
        <f t="shared" ca="1" si="0"/>
        <v>#REF!</v>
      </c>
      <c r="I26" s="12">
        <v>0</v>
      </c>
      <c r="J26" s="12">
        <f ca="1">IFERROR(VLOOKUP($B$5,INDIRECT("'"&amp;$B26&amp;"'!$F$2:$Q$10000"),12,1),0)</f>
        <v>0</v>
      </c>
      <c r="K26" s="13" t="e">
        <f t="shared" ca="1" si="1"/>
        <v>#REF!</v>
      </c>
      <c r="L26" s="13" t="e">
        <f t="shared" ca="1" si="2"/>
        <v>#REF!</v>
      </c>
      <c r="M26" s="10" t="s">
        <v>81</v>
      </c>
      <c r="N26" s="14" t="e">
        <f ca="1">INDIRECT("'"&amp;$B26&amp;"'!$AE$18")</f>
        <v>#REF!</v>
      </c>
      <c r="O26" s="15" t="e">
        <f ca="1">INDIRECT("'"&amp;$B26&amp;"'!$AF$18")</f>
        <v>#REF!</v>
      </c>
      <c r="P26" s="10" t="s">
        <v>69</v>
      </c>
      <c r="Q26" s="24" t="s">
        <v>43</v>
      </c>
    </row>
    <row r="27" spans="2:17" x14ac:dyDescent="0.35">
      <c r="B27" s="9">
        <v>23</v>
      </c>
      <c r="C27" s="10" t="s">
        <v>82</v>
      </c>
      <c r="D27" s="10" t="s">
        <v>65</v>
      </c>
      <c r="E27" s="10" t="s">
        <v>66</v>
      </c>
      <c r="F27" s="17" t="s">
        <v>26</v>
      </c>
      <c r="G27" s="11" t="s">
        <v>83</v>
      </c>
      <c r="H27" s="12" t="e">
        <f t="shared" ca="1" si="0"/>
        <v>#REF!</v>
      </c>
      <c r="I27" s="12">
        <v>0</v>
      </c>
      <c r="J27" s="12">
        <f t="shared" ca="1" si="4"/>
        <v>0</v>
      </c>
      <c r="K27" s="13" t="e">
        <f t="shared" ca="1" si="1"/>
        <v>#REF!</v>
      </c>
      <c r="L27" s="13" t="e">
        <f t="shared" ca="1" si="2"/>
        <v>#REF!</v>
      </c>
      <c r="M27" s="10" t="s">
        <v>72</v>
      </c>
      <c r="N27" s="14" t="e">
        <f ca="1">INDIRECT("'"&amp;$B27&amp;"'!$AI$119")</f>
        <v>#REF!</v>
      </c>
      <c r="O27" s="15" t="e">
        <f ca="1">INDIRECT("'"&amp;$B27&amp;"'!$AJ$119")</f>
        <v>#REF!</v>
      </c>
      <c r="P27" s="10" t="s">
        <v>69</v>
      </c>
      <c r="Q27" s="24" t="s">
        <v>43</v>
      </c>
    </row>
    <row r="28" spans="2:17" x14ac:dyDescent="0.35">
      <c r="B28" s="9">
        <v>24</v>
      </c>
      <c r="C28" s="10" t="s">
        <v>82</v>
      </c>
      <c r="D28" s="10" t="s">
        <v>65</v>
      </c>
      <c r="E28" s="10" t="s">
        <v>66</v>
      </c>
      <c r="F28" s="17" t="s">
        <v>26</v>
      </c>
      <c r="G28" s="11" t="s">
        <v>84</v>
      </c>
      <c r="H28" s="12" t="e">
        <f t="shared" ca="1" si="0"/>
        <v>#REF!</v>
      </c>
      <c r="I28" s="12">
        <v>0</v>
      </c>
      <c r="J28" s="12">
        <f t="shared" ca="1" si="4"/>
        <v>0</v>
      </c>
      <c r="K28" s="13" t="e">
        <f t="shared" ca="1" si="1"/>
        <v>#REF!</v>
      </c>
      <c r="L28" s="13" t="e">
        <f t="shared" ca="1" si="2"/>
        <v>#REF!</v>
      </c>
      <c r="M28" s="10" t="s">
        <v>72</v>
      </c>
      <c r="N28" s="14" t="e">
        <f t="shared" ca="1" si="5"/>
        <v>#REF!</v>
      </c>
      <c r="O28" s="15" t="e">
        <f t="shared" ca="1" si="6"/>
        <v>#REF!</v>
      </c>
      <c r="P28" s="10" t="s">
        <v>69</v>
      </c>
      <c r="Q28" s="24" t="s">
        <v>43</v>
      </c>
    </row>
    <row r="29" spans="2:17" x14ac:dyDescent="0.35">
      <c r="B29" s="9">
        <v>25</v>
      </c>
      <c r="C29" s="10" t="s">
        <v>82</v>
      </c>
      <c r="D29" s="10" t="s">
        <v>65</v>
      </c>
      <c r="E29" s="10" t="s">
        <v>66</v>
      </c>
      <c r="F29" s="17" t="s">
        <v>26</v>
      </c>
      <c r="G29" s="11" t="s">
        <v>85</v>
      </c>
      <c r="H29" s="12" t="e">
        <f t="shared" ca="1" si="0"/>
        <v>#REF!</v>
      </c>
      <c r="I29" s="12">
        <v>0</v>
      </c>
      <c r="J29" s="12">
        <f t="shared" ca="1" si="4"/>
        <v>0</v>
      </c>
      <c r="K29" s="13" t="e">
        <f t="shared" ca="1" si="1"/>
        <v>#REF!</v>
      </c>
      <c r="L29" s="13" t="e">
        <f t="shared" ca="1" si="2"/>
        <v>#REF!</v>
      </c>
      <c r="M29" s="10" t="s">
        <v>72</v>
      </c>
      <c r="N29" s="14" t="e">
        <f ca="1">INDIRECT("'"&amp;$B29&amp;"'!$AI$81")</f>
        <v>#REF!</v>
      </c>
      <c r="O29" s="15" t="e">
        <f ca="1">INDIRECT("'"&amp;$B29&amp;"'!$AJ$81")</f>
        <v>#REF!</v>
      </c>
      <c r="P29" s="10" t="s">
        <v>69</v>
      </c>
      <c r="Q29" s="24" t="s">
        <v>43</v>
      </c>
    </row>
    <row r="30" spans="2:17" x14ac:dyDescent="0.35">
      <c r="B30" s="9">
        <v>26</v>
      </c>
      <c r="C30" s="10" t="s">
        <v>82</v>
      </c>
      <c r="D30" s="10" t="s">
        <v>65</v>
      </c>
      <c r="E30" s="10" t="s">
        <v>66</v>
      </c>
      <c r="F30" s="17" t="s">
        <v>26</v>
      </c>
      <c r="G30" s="11" t="s">
        <v>86</v>
      </c>
      <c r="H30" s="12" t="e">
        <f t="shared" ca="1" si="0"/>
        <v>#REF!</v>
      </c>
      <c r="I30" s="12">
        <v>0</v>
      </c>
      <c r="J30" s="12">
        <f t="shared" ca="1" si="4"/>
        <v>0</v>
      </c>
      <c r="K30" s="13" t="e">
        <f t="shared" ca="1" si="1"/>
        <v>#REF!</v>
      </c>
      <c r="L30" s="13" t="e">
        <f t="shared" ca="1" si="2"/>
        <v>#REF!</v>
      </c>
      <c r="M30" s="10" t="s">
        <v>72</v>
      </c>
      <c r="N30" s="14" t="e">
        <f ca="1">INDIRECT("'"&amp;$B30&amp;"'!$AI$117")</f>
        <v>#REF!</v>
      </c>
      <c r="O30" s="15" t="e">
        <f ca="1">INDIRECT("'"&amp;$B30&amp;"'!$AJ$117")</f>
        <v>#REF!</v>
      </c>
      <c r="P30" s="10" t="s">
        <v>69</v>
      </c>
      <c r="Q30" s="24" t="s">
        <v>43</v>
      </c>
    </row>
    <row r="31" spans="2:17" x14ac:dyDescent="0.35">
      <c r="B31" s="9">
        <v>27</v>
      </c>
      <c r="C31" s="10" t="s">
        <v>87</v>
      </c>
      <c r="D31" s="10" t="s">
        <v>65</v>
      </c>
      <c r="E31" s="10" t="s">
        <v>66</v>
      </c>
      <c r="F31" s="17" t="s">
        <v>26</v>
      </c>
      <c r="G31" s="11" t="s">
        <v>88</v>
      </c>
      <c r="H31" s="12" t="e">
        <f t="shared" ca="1" si="0"/>
        <v>#REF!</v>
      </c>
      <c r="I31" s="12">
        <v>0</v>
      </c>
      <c r="J31" s="12">
        <f t="shared" ca="1" si="4"/>
        <v>0</v>
      </c>
      <c r="K31" s="13" t="e">
        <f t="shared" ca="1" si="1"/>
        <v>#REF!</v>
      </c>
      <c r="L31" s="13" t="e">
        <f t="shared" ca="1" si="2"/>
        <v>#REF!</v>
      </c>
      <c r="M31" s="10" t="s">
        <v>72</v>
      </c>
      <c r="N31" s="14" t="e">
        <f ca="1">INDIRECT("'"&amp;$B31&amp;"'!$AI$119")</f>
        <v>#REF!</v>
      </c>
      <c r="O31" s="15" t="e">
        <f ca="1">INDIRECT("'"&amp;$B31&amp;"'!$AJ$119")</f>
        <v>#REF!</v>
      </c>
      <c r="P31" s="10" t="s">
        <v>69</v>
      </c>
      <c r="Q31" s="24" t="s">
        <v>43</v>
      </c>
    </row>
    <row r="32" spans="2:17" x14ac:dyDescent="0.35">
      <c r="B32" s="9">
        <v>28</v>
      </c>
      <c r="C32" s="10" t="s">
        <v>87</v>
      </c>
      <c r="D32" s="10" t="s">
        <v>65</v>
      </c>
      <c r="E32" s="10" t="s">
        <v>66</v>
      </c>
      <c r="F32" s="17" t="s">
        <v>26</v>
      </c>
      <c r="G32" s="11" t="s">
        <v>89</v>
      </c>
      <c r="H32" s="12" t="e">
        <f t="shared" ca="1" si="0"/>
        <v>#REF!</v>
      </c>
      <c r="I32" s="12">
        <v>0</v>
      </c>
      <c r="J32" s="12">
        <f t="shared" ca="1" si="4"/>
        <v>0</v>
      </c>
      <c r="K32" s="13" t="e">
        <f t="shared" ca="1" si="1"/>
        <v>#REF!</v>
      </c>
      <c r="L32" s="13" t="e">
        <f t="shared" ca="1" si="2"/>
        <v>#REF!</v>
      </c>
      <c r="M32" s="10" t="s">
        <v>72</v>
      </c>
      <c r="N32" s="14" t="e">
        <f t="shared" ca="1" si="5"/>
        <v>#REF!</v>
      </c>
      <c r="O32" s="15" t="e">
        <f t="shared" ca="1" si="6"/>
        <v>#REF!</v>
      </c>
      <c r="P32" s="10" t="s">
        <v>69</v>
      </c>
      <c r="Q32" s="16" t="s">
        <v>24</v>
      </c>
    </row>
    <row r="33" spans="1:17" x14ac:dyDescent="0.35">
      <c r="B33" s="9">
        <v>29</v>
      </c>
      <c r="C33" s="10" t="s">
        <v>87</v>
      </c>
      <c r="D33" s="10" t="s">
        <v>65</v>
      </c>
      <c r="E33" s="10" t="s">
        <v>66</v>
      </c>
      <c r="F33" s="17" t="s">
        <v>26</v>
      </c>
      <c r="G33" s="11" t="s">
        <v>90</v>
      </c>
      <c r="H33" s="12" t="e">
        <f t="shared" ca="1" si="0"/>
        <v>#REF!</v>
      </c>
      <c r="I33" s="12">
        <v>0</v>
      </c>
      <c r="J33" s="12">
        <f t="shared" ca="1" si="4"/>
        <v>0</v>
      </c>
      <c r="K33" s="13" t="e">
        <f t="shared" ca="1" si="1"/>
        <v>#REF!</v>
      </c>
      <c r="L33" s="13" t="e">
        <f t="shared" ca="1" si="2"/>
        <v>#REF!</v>
      </c>
      <c r="M33" s="10" t="s">
        <v>72</v>
      </c>
      <c r="N33" s="14" t="e">
        <f ca="1">INDIRECT("'"&amp;$B33&amp;"'!$AI$65")</f>
        <v>#REF!</v>
      </c>
      <c r="O33" s="15" t="e">
        <f ca="1">INDIRECT("'"&amp;$B33&amp;"'!$AJ$65")</f>
        <v>#REF!</v>
      </c>
      <c r="P33" s="10" t="s">
        <v>69</v>
      </c>
      <c r="Q33" s="16" t="s">
        <v>24</v>
      </c>
    </row>
    <row r="34" spans="1:17" x14ac:dyDescent="0.35">
      <c r="B34" s="25">
        <v>30</v>
      </c>
      <c r="C34" s="10" t="s">
        <v>87</v>
      </c>
      <c r="D34" s="10" t="s">
        <v>65</v>
      </c>
      <c r="E34" s="10" t="s">
        <v>66</v>
      </c>
      <c r="F34" s="10" t="s">
        <v>26</v>
      </c>
      <c r="G34" s="26" t="s">
        <v>91</v>
      </c>
      <c r="H34" s="12" t="e">
        <f t="shared" ca="1" si="0"/>
        <v>#REF!</v>
      </c>
      <c r="I34" s="12">
        <v>0</v>
      </c>
      <c r="J34" s="12">
        <f t="shared" ca="1" si="4"/>
        <v>0</v>
      </c>
      <c r="K34" s="13" t="e">
        <f t="shared" ca="1" si="1"/>
        <v>#REF!</v>
      </c>
      <c r="L34" s="13" t="e">
        <f t="shared" ca="1" si="2"/>
        <v>#REF!</v>
      </c>
      <c r="M34" s="10" t="s">
        <v>72</v>
      </c>
      <c r="N34" s="14" t="e">
        <f ca="1">INDIRECT("'"&amp;$B34&amp;"'!$AI$114")</f>
        <v>#REF!</v>
      </c>
      <c r="O34" s="15" t="e">
        <f ca="1">INDIRECT("'"&amp;$B34&amp;"'!$AJ$114")</f>
        <v>#REF!</v>
      </c>
      <c r="P34" s="10" t="s">
        <v>69</v>
      </c>
      <c r="Q34" s="24" t="s">
        <v>43</v>
      </c>
    </row>
    <row r="35" spans="1:17" x14ac:dyDescent="0.35">
      <c r="A35" s="9"/>
      <c r="B35" s="25">
        <v>31</v>
      </c>
      <c r="C35" s="10" t="s">
        <v>18</v>
      </c>
      <c r="D35" s="10" t="s">
        <v>19</v>
      </c>
      <c r="E35" s="10" t="s">
        <v>20</v>
      </c>
      <c r="F35" s="10" t="s">
        <v>92</v>
      </c>
      <c r="G35" s="26" t="s">
        <v>93</v>
      </c>
      <c r="H35" s="12" t="e">
        <f t="shared" ca="1" si="0"/>
        <v>#REF!</v>
      </c>
      <c r="I35" s="12">
        <v>0</v>
      </c>
      <c r="J35" s="12">
        <f ca="1">IFERROR(VLOOKUP($B$5,INDIRECT("'"&amp;$B35&amp;"'!$H$2:$X$10000"),17,1),0)</f>
        <v>0</v>
      </c>
      <c r="K35" s="13" t="e">
        <f t="shared" ca="1" si="1"/>
        <v>#REF!</v>
      </c>
      <c r="L35" s="13" t="e">
        <f t="shared" ca="1" si="2"/>
        <v>#REF!</v>
      </c>
      <c r="M35" s="10" t="s">
        <v>94</v>
      </c>
      <c r="N35" s="14" t="e">
        <f ca="1">INDIRECT("'"&amp;$B35&amp;"'!$AL$41")</f>
        <v>#REF!</v>
      </c>
      <c r="O35" s="15" t="e">
        <f ca="1">INDIRECT("'"&amp;$B35&amp;"'!$AM$41")</f>
        <v>#REF!</v>
      </c>
      <c r="P35" s="10" t="s">
        <v>95</v>
      </c>
      <c r="Q35" s="10" t="s">
        <v>24</v>
      </c>
    </row>
    <row r="36" spans="1:17" x14ac:dyDescent="0.35">
      <c r="A36" s="9"/>
      <c r="B36" s="25">
        <v>32</v>
      </c>
      <c r="C36" s="10" t="s">
        <v>18</v>
      </c>
      <c r="D36" s="10" t="s">
        <v>19</v>
      </c>
      <c r="E36" s="10" t="s">
        <v>20</v>
      </c>
      <c r="F36" s="10" t="s">
        <v>92</v>
      </c>
      <c r="G36" s="26" t="s">
        <v>96</v>
      </c>
      <c r="H36" s="12" t="e">
        <f t="shared" ca="1" si="0"/>
        <v>#REF!</v>
      </c>
      <c r="I36" s="12">
        <v>0</v>
      </c>
      <c r="J36" s="12">
        <f ca="1">IFERROR(VLOOKUP($B$5,INDIRECT("'"&amp;$B36&amp;"'!$H$2:$X$10000"),17,1),0)</f>
        <v>0</v>
      </c>
      <c r="K36" s="13" t="e">
        <f t="shared" ca="1" si="1"/>
        <v>#REF!</v>
      </c>
      <c r="L36" s="13" t="e">
        <f t="shared" ca="1" si="2"/>
        <v>#REF!</v>
      </c>
      <c r="M36" s="10" t="s">
        <v>97</v>
      </c>
      <c r="N36" s="14" t="e">
        <f ca="1">INDIRECT("'"&amp;$B36&amp;"'!$AL$59")</f>
        <v>#REF!</v>
      </c>
      <c r="O36" s="15" t="e">
        <f ca="1">INDIRECT("'"&amp;$B36&amp;"'!$AM$59")</f>
        <v>#REF!</v>
      </c>
      <c r="P36" s="10" t="s">
        <v>95</v>
      </c>
      <c r="Q36" s="10" t="s">
        <v>24</v>
      </c>
    </row>
    <row r="37" spans="1:17" x14ac:dyDescent="0.35">
      <c r="B37" s="27">
        <v>33</v>
      </c>
      <c r="C37" s="2" t="s">
        <v>98</v>
      </c>
      <c r="D37" s="10" t="s">
        <v>51</v>
      </c>
      <c r="E37" s="2" t="s">
        <v>52</v>
      </c>
      <c r="F37" s="2" t="s">
        <v>26</v>
      </c>
      <c r="G37" s="28" t="s">
        <v>99</v>
      </c>
      <c r="H37" s="29" t="e">
        <f ca="1">INDIRECT("'"&amp;$B37&amp;"'!$C$12")</f>
        <v>#REF!</v>
      </c>
      <c r="I37" s="29">
        <f>19220485.96-10585189.29-1613765.71</f>
        <v>7021530.9600000018</v>
      </c>
      <c r="J37" s="12">
        <f ca="1">IFERROR(VLOOKUP($B$5,INDIRECT("'"&amp;$B37&amp;"'!$F$2:$R$10000"),13,1),0)</f>
        <v>0</v>
      </c>
      <c r="K37" s="30" t="e">
        <f ca="1">INDIRECT("'"&amp;$B37&amp;"'!$C$10")</f>
        <v>#REF!</v>
      </c>
      <c r="L37" s="30" t="e">
        <f ca="1">INDIRECT("'"&amp;$B37&amp;"'!$C$11")</f>
        <v>#REF!</v>
      </c>
      <c r="M37" s="2" t="s">
        <v>100</v>
      </c>
      <c r="N37" s="14" t="e">
        <f ca="1">INDIRECT("'"&amp;$B37&amp;"'!$AF$92")</f>
        <v>#REF!</v>
      </c>
      <c r="O37" s="15" t="e">
        <f ca="1">INDIRECT("'"&amp;$B37&amp;"'!$AG$92")</f>
        <v>#REF!</v>
      </c>
      <c r="P37" s="10" t="s">
        <v>101</v>
      </c>
      <c r="Q37" s="10" t="s">
        <v>102</v>
      </c>
    </row>
    <row r="38" spans="1:17" x14ac:dyDescent="0.35">
      <c r="B38" s="9">
        <v>34</v>
      </c>
      <c r="C38" s="10" t="s">
        <v>18</v>
      </c>
      <c r="D38" s="10" t="s">
        <v>19</v>
      </c>
      <c r="E38" s="10" t="s">
        <v>20</v>
      </c>
      <c r="F38" s="10" t="s">
        <v>92</v>
      </c>
      <c r="G38" s="26" t="s">
        <v>103</v>
      </c>
      <c r="H38" s="12" t="e">
        <f ca="1">INDIRECT("'"&amp;$B38&amp;"'!$C$12")</f>
        <v>#REF!</v>
      </c>
      <c r="I38" s="12">
        <v>0</v>
      </c>
      <c r="J38" s="12">
        <f ca="1">IFERROR(VLOOKUP($B$5,INDIRECT("'"&amp;$B38&amp;"'!$H$2:$X$10000"),17,1),0)</f>
        <v>0</v>
      </c>
      <c r="K38" s="13" t="e">
        <f ca="1">INDIRECT("'"&amp;$B38&amp;"'!$C$10")</f>
        <v>#REF!</v>
      </c>
      <c r="L38" s="13" t="e">
        <f ca="1">INDIRECT("'"&amp;$B38&amp;"'!$C$11")</f>
        <v>#REF!</v>
      </c>
      <c r="M38" s="10" t="s">
        <v>104</v>
      </c>
      <c r="N38" s="14" t="e">
        <f ca="1">INDIRECT("'"&amp;$B38&amp;"'!$AL$41")</f>
        <v>#REF!</v>
      </c>
      <c r="O38" s="15" t="e">
        <f ca="1">INDIRECT("'"&amp;$B38&amp;"'!$AM$41")</f>
        <v>#REF!</v>
      </c>
      <c r="P38" s="10" t="s">
        <v>95</v>
      </c>
      <c r="Q38" s="10"/>
    </row>
    <row r="39" spans="1:17" x14ac:dyDescent="0.35">
      <c r="B39" s="8" t="s">
        <v>105</v>
      </c>
      <c r="C39" s="8"/>
      <c r="D39" s="8"/>
      <c r="E39" s="8"/>
      <c r="F39" s="8"/>
      <c r="G39" s="8"/>
      <c r="H39" s="31" t="e">
        <f ca="1">SUBTOTAL(109,Resumo[Valor Contratado])</f>
        <v>#REF!</v>
      </c>
      <c r="I39" s="31" t="e">
        <f ca="1">SUBTOTAL(109,Resumo[Valor a Desembolsar])</f>
        <v>#REF!</v>
      </c>
      <c r="J39" s="31">
        <f ca="1">SUBTOTAL(109,Resumo[Valor Atual])</f>
        <v>0</v>
      </c>
      <c r="K39" s="8"/>
      <c r="L39" s="8"/>
      <c r="M39" s="8"/>
      <c r="N39" s="32" t="e" cm="1">
        <f t="array" aca="1" ref="N39" ca="1">SUMPRODUCT(Resumo[Valor Atual],SUBTOTAL(109,OFFSET(Resumo[Prazo Médio Reman. (Anos)],ROW(Resumo[Prazo Médio Reman. (Anos)])-MIN(ROW(Resumo[Prazo Médio Reman. (Anos)])),0,1)))/Resumo[[#Totals],[Valor Atual]]</f>
        <v>#REF!</v>
      </c>
      <c r="O39" s="33" t="e" cm="1">
        <f t="array" aca="1" ref="O39" ca="1">SUMPRODUCT(Resumo[Valor Atual],SUBTOTAL(109,OFFSET(Resumo[Taxa Nominal],ROW(Resumo[Taxa Nominal])-MIN(ROW(Resumo[Taxa Nominal])),0,1)))/Resumo[[#Totals],[Valor Atual]]</f>
        <v>#REF!</v>
      </c>
      <c r="P39" s="33"/>
      <c r="Q39" s="33"/>
    </row>
    <row r="40" spans="1:17" x14ac:dyDescent="0.35">
      <c r="B40" t="s">
        <v>106</v>
      </c>
      <c r="J40" s="34"/>
    </row>
    <row r="41" spans="1:17" x14ac:dyDescent="0.35">
      <c r="B41" t="s">
        <v>107</v>
      </c>
      <c r="J41" s="34"/>
    </row>
    <row r="42" spans="1:17" x14ac:dyDescent="0.35">
      <c r="B42" t="s">
        <v>108</v>
      </c>
      <c r="J42" s="35"/>
    </row>
    <row r="43" spans="1:17" x14ac:dyDescent="0.35">
      <c r="B43" t="s">
        <v>109</v>
      </c>
    </row>
    <row r="44" spans="1:17" x14ac:dyDescent="0.35">
      <c r="B44" t="s">
        <v>110</v>
      </c>
    </row>
    <row r="45" spans="1:17" x14ac:dyDescent="0.35">
      <c r="B45" t="s">
        <v>82</v>
      </c>
    </row>
    <row r="46" spans="1:17" x14ac:dyDescent="0.35">
      <c r="B46" t="s">
        <v>87</v>
      </c>
    </row>
    <row r="47" spans="1:17" x14ac:dyDescent="0.35">
      <c r="B47" t="s">
        <v>111</v>
      </c>
      <c r="M47" s="36"/>
    </row>
    <row r="48" spans="1:17" x14ac:dyDescent="0.35">
      <c r="B48" t="s">
        <v>112</v>
      </c>
      <c r="G48" s="34"/>
    </row>
    <row r="49" spans="2:13" x14ac:dyDescent="0.35">
      <c r="B49" t="s">
        <v>44</v>
      </c>
      <c r="L49" s="36"/>
    </row>
    <row r="50" spans="2:13" x14ac:dyDescent="0.35">
      <c r="B50" t="s">
        <v>113</v>
      </c>
      <c r="H50">
        <v>4000000</v>
      </c>
      <c r="L50" s="36"/>
      <c r="M50" s="36"/>
    </row>
    <row r="51" spans="2:13" x14ac:dyDescent="0.35">
      <c r="H51" s="37">
        <v>3958664</v>
      </c>
      <c r="I51" s="37">
        <f>H50-H51</f>
        <v>41336</v>
      </c>
      <c r="J51">
        <v>1000</v>
      </c>
      <c r="K51" s="37">
        <f>I51*J51</f>
        <v>41336000</v>
      </c>
      <c r="L51" s="38"/>
      <c r="M51" s="36"/>
    </row>
    <row r="52" spans="2:13" x14ac:dyDescent="0.35">
      <c r="D52" s="7"/>
      <c r="E52" s="39"/>
      <c r="H52">
        <v>1000</v>
      </c>
      <c r="M52" s="36"/>
    </row>
    <row r="53" spans="2:13" x14ac:dyDescent="0.35">
      <c r="D53" s="7"/>
      <c r="E53" s="40"/>
      <c r="H53" s="37">
        <f>H52*H51</f>
        <v>3958664000</v>
      </c>
    </row>
    <row r="54" spans="2:13" x14ac:dyDescent="0.35">
      <c r="D54" s="7"/>
      <c r="E54" s="41"/>
      <c r="L54" s="37">
        <v>3999997994.29</v>
      </c>
    </row>
    <row r="55" spans="2:13" x14ac:dyDescent="0.35">
      <c r="D55" s="7"/>
      <c r="E55" s="7"/>
      <c r="L55" s="37">
        <v>3999998077.5300002</v>
      </c>
    </row>
    <row r="56" spans="2:13" x14ac:dyDescent="0.35">
      <c r="D56" s="7"/>
      <c r="E56" s="39"/>
      <c r="L56" s="37">
        <f>L55-L54</f>
        <v>83.240000247955322</v>
      </c>
    </row>
    <row r="57" spans="2:13" x14ac:dyDescent="0.35">
      <c r="D57" s="7"/>
      <c r="E57" s="39"/>
    </row>
    <row r="58" spans="2:13" x14ac:dyDescent="0.35">
      <c r="D58" s="7"/>
      <c r="E58" s="39"/>
      <c r="H58">
        <v>1010.4414</v>
      </c>
    </row>
    <row r="59" spans="2:13" x14ac:dyDescent="0.35">
      <c r="D59" s="7"/>
      <c r="E59" s="39"/>
      <c r="H59" s="37">
        <f>H58*H51</f>
        <v>3999997994.2896004</v>
      </c>
    </row>
    <row r="60" spans="2:13" x14ac:dyDescent="0.35">
      <c r="D60" s="7"/>
      <c r="E60" s="40"/>
    </row>
    <row r="61" spans="2:13" x14ac:dyDescent="0.35">
      <c r="D61" s="7"/>
      <c r="E61" s="39"/>
    </row>
    <row r="62" spans="2:13" x14ac:dyDescent="0.35">
      <c r="D62" s="7"/>
      <c r="E62" s="39"/>
    </row>
    <row r="66" spans="4:4" x14ac:dyDescent="0.35">
      <c r="D66" s="34"/>
    </row>
  </sheetData>
  <mergeCells count="1">
    <mergeCell ref="B2:O3"/>
  </mergeCells>
  <hyperlinks>
    <hyperlink ref="B7" location="'1'!A1" display="'1'!A1" xr:uid="{F3ACB03C-C90B-4009-BFE6-12EAC1EDB916}"/>
    <hyperlink ref="G7" r:id="rId1" xr:uid="{4171C08D-7C53-413B-9F61-47768B642996}"/>
    <hyperlink ref="B8" location="'2'!A1" display="'2'!A1" xr:uid="{B97AA722-7788-4188-BE75-F60C927E6B8F}"/>
    <hyperlink ref="B9" location="'3'!A1" display="'3'!A1" xr:uid="{FAA5B969-5827-4643-9FDD-99B9864B4206}"/>
    <hyperlink ref="G11" r:id="rId2" xr:uid="{A7E789E6-3436-49B2-BA85-9C1B244BCEB5}"/>
    <hyperlink ref="G13" r:id="rId3" display="SC-45.734" xr:uid="{F2ABE5D3-D6EA-44C1-AD8A-82ABB5961AFC}"/>
    <hyperlink ref="G12" r:id="rId4" xr:uid="{68B42E5E-2A2D-4727-B5A6-B2F6762E18AE}"/>
    <hyperlink ref="G8" r:id="rId5" xr:uid="{618ED731-4452-4F24-8929-8A96682A671E}"/>
    <hyperlink ref="G9" r:id="rId6" xr:uid="{9E081122-7681-41CF-9F54-6F6A467CA6F9}"/>
    <hyperlink ref="G10" r:id="rId7" xr:uid="{AB81D474-DA7E-4139-A718-FFE8D047F8F1}"/>
    <hyperlink ref="G15" r:id="rId8" display="../../../06 - Empresas/Sanessol/6 - Financiamentos/Banco do Brasil" xr:uid="{7C484E9D-7BE5-4103-80B7-F3B0F87666BD}"/>
    <hyperlink ref="G14" r:id="rId9" display="SC-45.734" xr:uid="{1C091501-CCEB-4B3B-905A-B672BE0CB93C}"/>
    <hyperlink ref="B10" location="'6'!A1" display="'6'!A1" xr:uid="{F0EE5F3D-EDC1-47A7-8372-E7D7928E493E}"/>
    <hyperlink ref="B11" location="'7'!A1" display="'7'!A1" xr:uid="{1C3BA8CC-A020-4A23-97BF-0DDD90AB3FE8}"/>
    <hyperlink ref="B12" location="'8'!A1" display="'8'!A1" xr:uid="{DE63AD5D-7654-410D-A661-02C22D8AC28D}"/>
    <hyperlink ref="B13" location="'9'!A1" display="'9'!A1" xr:uid="{6FD25149-2F75-4664-AB09-AE1B6CB9227A}"/>
    <hyperlink ref="B14" location="'10'!A1" display="'10'!A1" xr:uid="{6F0D024F-B79F-4595-9701-B1F182073E10}"/>
    <hyperlink ref="B15" location="'11'!A1" display="'11'!A1" xr:uid="{4F9C3A23-BEB4-4FCF-96FC-83F061FCEEF5}"/>
    <hyperlink ref="B16" location="'12'!A1" display="'12'!A1" xr:uid="{73B2C4DF-A560-47E1-88A2-30FE7BD8FE21}"/>
    <hyperlink ref="B17" location="'13'!A1" display="'13'!A1" xr:uid="{BD02A74E-5D47-42D6-A454-F8CC4E687DA0}"/>
    <hyperlink ref="B18" location="'14'!A1" display="'14'!A1" xr:uid="{9CDFEB8C-1A11-4214-975D-BDA07832B1E8}"/>
    <hyperlink ref="B19" location="'15'!A1" display="'15'!A1" xr:uid="{F90E5672-6A57-4A4D-B9E3-C8C6F48A8025}"/>
    <hyperlink ref="B20" location="'16'!A1" display="'16'!A1" xr:uid="{30009D0D-A424-429A-9CD9-958AAFA5367A}"/>
    <hyperlink ref="G16" r:id="rId10" display="../../../06 - Empresas/ESAP/6 - Financiamentos/Banco do Brasil" xr:uid="{B3652FC6-5A9B-43E5-9D7E-2301E2F0C955}"/>
    <hyperlink ref="G17" r:id="rId11" xr:uid="{D3F5C59E-B44B-44CF-95D8-8BA0571F48AB}"/>
    <hyperlink ref="G18" r:id="rId12" xr:uid="{FAF613F8-CC14-4CDE-93F7-E1D13BB7D9DC}"/>
    <hyperlink ref="G19" r:id="rId13" display="09.2.0032.1-A" xr:uid="{5323DEA7-8F01-43E8-A6DB-3C4205CAAA74}"/>
    <hyperlink ref="G20" r:id="rId14" display="09.2.0032.1-B" xr:uid="{ACAE321D-3E30-44DE-A811-B229A81666BB}"/>
    <hyperlink ref="B21" location="'17'!A1" display="'17'!A1" xr:uid="{3486C96C-00D3-4948-AD82-46BA58B4A0BB}"/>
    <hyperlink ref="B22" location="'18'!A1" display="'18'!A1" xr:uid="{359CA6E0-8445-4EE4-86C5-0F21461DDAAA}"/>
    <hyperlink ref="B23" location="'19'!A1" display="'19'!A1" xr:uid="{083DA6A6-9B1C-47A2-92A0-8EA5AD48EE53}"/>
    <hyperlink ref="B25" location="'21'!A1" display="'21'!A1" xr:uid="{69A62DB9-832E-4BEB-AE7F-11F2B0C697D1}"/>
    <hyperlink ref="B27" location="'23'!A1" display="'23'!A1" xr:uid="{D0ED55C3-83DC-47CB-8171-57F388E42066}"/>
    <hyperlink ref="B29" location="'25'!A1" display="'25'!A1" xr:uid="{201A63FC-3542-4AB2-A389-01DC90A46477}"/>
    <hyperlink ref="B31" location="'27'!A1" display="'27'!A1" xr:uid="{24FC1EE6-37A2-430F-96A9-9462965C0DA9}"/>
    <hyperlink ref="B33" location="'29'!A1" display="'29'!A1" xr:uid="{6C29941E-A69C-430A-B059-04AEA48E83C8}"/>
    <hyperlink ref="B24" location="'20'!A1" display="'20'!A1" xr:uid="{95E58133-FB10-46A5-8524-CA3B9AD2D096}"/>
    <hyperlink ref="B26" location="'22'!A1" display="'22'!A1" xr:uid="{BC766FCC-1C92-4CAF-88E8-54C5353F852F}"/>
    <hyperlink ref="B28" location="'24'!A1" display="'24'!A1" xr:uid="{11EF2663-BFDE-443E-9720-415D9515EB8E}"/>
    <hyperlink ref="B30" location="'26'!A1" display="'26'!A1" xr:uid="{B7685F4A-9F7F-4A6F-8119-F2DCA0FE0F85}"/>
    <hyperlink ref="B32" location="'28'!A1" display="'28'!A1" xr:uid="{35C6A885-DB8C-4000-99FE-E2D7821D2E2A}"/>
    <hyperlink ref="B34" location="'30'!A1" display="'30'!A1" xr:uid="{4BF3D08F-55B0-44B8-A344-D0E85D8A85AA}"/>
    <hyperlink ref="G35" r:id="rId15" display="IRJS12" xr:uid="{0AEB565C-902A-4510-9661-79626CDF22F3}"/>
    <hyperlink ref="B35" location="'31'!A1" display="'31'!A1" xr:uid="{324F07EF-8A37-4392-9FFC-94C2961194A4}"/>
    <hyperlink ref="B37" location="'33'!A1" display="'33'!A1" xr:uid="{4137BE67-8A01-430C-A659-1CA6A72F8831}"/>
    <hyperlink ref="G36" r:id="rId16" display="IRJS12" xr:uid="{562D49ED-F673-47C0-8C7A-6E344955F82E}"/>
    <hyperlink ref="B36" location="'32'!A1" display="'32'!A1" xr:uid="{F29AD2B8-1FEB-4CB1-BD6C-9B1F9397140A}"/>
    <hyperlink ref="G38" r:id="rId17" display="IRJS12" xr:uid="{AE9CF54D-F8EA-4673-8817-92146C40B71E}"/>
    <hyperlink ref="B38" location="'34'!A1" display="'34'!A1" xr:uid="{A42D320F-62C0-4D3E-B6DA-CF46CA5826FF}"/>
  </hyperlinks>
  <pageMargins left="0.7" right="0.7" top="0.75" bottom="0.75" header="0.3" footer="0.3"/>
  <drawing r:id="rId18"/>
  <legacyDrawing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Cruz Neto</dc:creator>
  <cp:lastModifiedBy>Wilson Cruz Neto</cp:lastModifiedBy>
  <dcterms:created xsi:type="dcterms:W3CDTF">2024-05-21T19:40:32Z</dcterms:created>
  <dcterms:modified xsi:type="dcterms:W3CDTF">2024-05-21T19:44:53Z</dcterms:modified>
</cp:coreProperties>
</file>